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"/>
    </mc:Choice>
  </mc:AlternateContent>
  <xr:revisionPtr revIDLastSave="0" documentId="13_ncr:1_{90AF532A-1B5F-4666-B7E2-633385AFD234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BOSS 2026" sheetId="21" r:id="rId1"/>
    <sheet name="ENONCE 2026" sheetId="20" r:id="rId2"/>
    <sheet name="CORRIGE 2026" sheetId="4" r:id="rId3"/>
    <sheet name="MAQUETTE 2026 " sheetId="19" r:id="rId4"/>
    <sheet name="MAQUETTE 2026 ETAM " sheetId="22" r:id="rId5"/>
    <sheet name="MAQUETTE 2025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3" i="4" l="1"/>
  <c r="N144" i="4"/>
  <c r="N145" i="4"/>
  <c r="N142" i="4"/>
  <c r="L131" i="4"/>
  <c r="L113" i="4"/>
  <c r="L94" i="4"/>
  <c r="L75" i="4"/>
  <c r="L56" i="4"/>
  <c r="L35" i="4"/>
  <c r="L21" i="4"/>
  <c r="C38" i="22"/>
  <c r="C37" i="22"/>
  <c r="C36" i="22"/>
  <c r="E24" i="22"/>
  <c r="B49" i="19"/>
  <c r="E131" i="4"/>
  <c r="F88" i="4"/>
  <c r="F69" i="4"/>
  <c r="F49" i="4"/>
  <c r="F14" i="4"/>
  <c r="C39" i="22" l="1"/>
  <c r="C40" i="22" s="1"/>
  <c r="C41" i="22" s="1"/>
  <c r="C42" i="22" s="1"/>
  <c r="C43" i="22" s="1"/>
  <c r="C44" i="22" s="1"/>
  <c r="C45" i="22" s="1"/>
  <c r="C46" i="22" s="1"/>
  <c r="B49" i="22" s="1"/>
  <c r="E24" i="19"/>
  <c r="K35" i="4"/>
  <c r="L143" i="4"/>
  <c r="L144" i="4"/>
  <c r="L145" i="4"/>
  <c r="L142" i="4"/>
  <c r="K131" i="4"/>
  <c r="K113" i="4"/>
  <c r="C38" i="19" l="1"/>
  <c r="C37" i="19"/>
  <c r="C36" i="19"/>
  <c r="K143" i="4"/>
  <c r="K144" i="4"/>
  <c r="K145" i="4"/>
  <c r="K142" i="4"/>
  <c r="I131" i="4"/>
  <c r="I113" i="4"/>
  <c r="I35" i="4"/>
  <c r="C39" i="19" l="1"/>
  <c r="C40" i="19" s="1"/>
  <c r="C41" i="19" s="1"/>
  <c r="C42" i="19" s="1"/>
  <c r="C43" i="19" s="1"/>
  <c r="C44" i="19" s="1"/>
  <c r="C45" i="19" s="1"/>
  <c r="C46" i="19" s="1"/>
  <c r="B21" i="4" l="1"/>
  <c r="F6" i="4"/>
  <c r="F4" i="4"/>
  <c r="F6" i="20"/>
  <c r="F4" i="20"/>
  <c r="D13" i="21"/>
  <c r="D12" i="21"/>
  <c r="D143" i="20"/>
  <c r="E143" i="20" s="1"/>
  <c r="E144" i="20" s="1"/>
  <c r="E145" i="20" s="1"/>
  <c r="E142" i="20"/>
  <c r="C142" i="20"/>
  <c r="C143" i="20" s="1"/>
  <c r="H122" i="20"/>
  <c r="H123" i="20" s="1"/>
  <c r="F123" i="20" s="1"/>
  <c r="F124" i="20" s="1"/>
  <c r="F107" i="20"/>
  <c r="F106" i="20"/>
  <c r="G104" i="20"/>
  <c r="F103" i="20"/>
  <c r="G84" i="20"/>
  <c r="G83" i="20"/>
  <c r="G82" i="20"/>
  <c r="G81" i="20"/>
  <c r="G85" i="20" s="1"/>
  <c r="F80" i="20"/>
  <c r="G64" i="20"/>
  <c r="G63" i="20"/>
  <c r="G62" i="20"/>
  <c r="G66" i="20" s="1"/>
  <c r="F61" i="20"/>
  <c r="G44" i="20"/>
  <c r="G43" i="20"/>
  <c r="G42" i="20"/>
  <c r="G45" i="20" s="1"/>
  <c r="F41" i="20"/>
  <c r="D143" i="4"/>
  <c r="J142" i="4"/>
  <c r="I142" i="4"/>
  <c r="H142" i="4"/>
  <c r="G143" i="4"/>
  <c r="G144" i="4"/>
  <c r="G145" i="4"/>
  <c r="G142" i="4"/>
  <c r="E143" i="4"/>
  <c r="H143" i="4" s="1"/>
  <c r="I143" i="4" s="1"/>
  <c r="J143" i="4" s="1"/>
  <c r="E142" i="4"/>
  <c r="C131" i="4"/>
  <c r="D131" i="4"/>
  <c r="F107" i="4"/>
  <c r="D113" i="4"/>
  <c r="F103" i="4"/>
  <c r="G84" i="4"/>
  <c r="D94" i="4"/>
  <c r="G83" i="4"/>
  <c r="G82" i="4"/>
  <c r="G81" i="4"/>
  <c r="F80" i="4"/>
  <c r="G63" i="4"/>
  <c r="G62" i="4"/>
  <c r="G64" i="4"/>
  <c r="F61" i="4"/>
  <c r="D75" i="4"/>
  <c r="G43" i="4"/>
  <c r="G42" i="4"/>
  <c r="G44" i="4"/>
  <c r="F41" i="4"/>
  <c r="D56" i="4"/>
  <c r="D35" i="4"/>
  <c r="C35" i="4"/>
  <c r="B35" i="4"/>
  <c r="D21" i="4"/>
  <c r="C21" i="4"/>
  <c r="F49" i="20" l="1"/>
  <c r="F48" i="20"/>
  <c r="C144" i="20"/>
  <c r="F69" i="20"/>
  <c r="F68" i="20"/>
  <c r="F88" i="20"/>
  <c r="F87" i="20"/>
  <c r="O142" i="4"/>
  <c r="P142" i="4" s="1"/>
  <c r="E144" i="4"/>
  <c r="G104" i="4"/>
  <c r="F106" i="4" s="1"/>
  <c r="B113" i="4" s="1"/>
  <c r="G85" i="4"/>
  <c r="F87" i="4" s="1"/>
  <c r="B94" i="4" s="1"/>
  <c r="G66" i="4"/>
  <c r="C75" i="4" s="1"/>
  <c r="E75" i="4" s="1"/>
  <c r="G45" i="4"/>
  <c r="E35" i="4"/>
  <c r="F35" i="4" s="1"/>
  <c r="G35" i="4" s="1"/>
  <c r="H35" i="4" s="1"/>
  <c r="E21" i="4"/>
  <c r="F21" i="4" s="1"/>
  <c r="G21" i="4" s="1"/>
  <c r="H21" i="4" s="1"/>
  <c r="I21" i="4" s="1"/>
  <c r="K21" i="4" s="1"/>
  <c r="M35" i="4" l="1"/>
  <c r="O143" i="4"/>
  <c r="P143" i="4" s="1"/>
  <c r="C145" i="20"/>
  <c r="E145" i="4"/>
  <c r="H145" i="4" s="1"/>
  <c r="I145" i="4" s="1"/>
  <c r="J145" i="4" s="1"/>
  <c r="H144" i="4"/>
  <c r="I144" i="4" s="1"/>
  <c r="J144" i="4" s="1"/>
  <c r="C113" i="4"/>
  <c r="E113" i="4" s="1"/>
  <c r="F113" i="4" s="1"/>
  <c r="G113" i="4" s="1"/>
  <c r="H113" i="4" s="1"/>
  <c r="C94" i="4"/>
  <c r="E94" i="4" s="1"/>
  <c r="F94" i="4" s="1"/>
  <c r="G94" i="4" s="1"/>
  <c r="H94" i="4" s="1"/>
  <c r="I94" i="4" s="1"/>
  <c r="K94" i="4" s="1"/>
  <c r="F68" i="4"/>
  <c r="B75" i="4" s="1"/>
  <c r="F75" i="4" s="1"/>
  <c r="G75" i="4" s="1"/>
  <c r="H75" i="4" s="1"/>
  <c r="I75" i="4" s="1"/>
  <c r="K75" i="4" s="1"/>
  <c r="C56" i="4"/>
  <c r="E56" i="4" s="1"/>
  <c r="F48" i="4"/>
  <c r="B56" i="4" s="1"/>
  <c r="M113" i="4" l="1"/>
  <c r="M94" i="4"/>
  <c r="M75" i="4"/>
  <c r="O145" i="4"/>
  <c r="O144" i="4"/>
  <c r="P144" i="4" s="1"/>
  <c r="F56" i="4"/>
  <c r="G56" i="4" s="1"/>
  <c r="H56" i="4" s="1"/>
  <c r="I56" i="4" s="1"/>
  <c r="K56" i="4" s="1"/>
  <c r="M21" i="4"/>
  <c r="M56" i="4" l="1"/>
  <c r="P145" i="4"/>
  <c r="H25" i="6"/>
  <c r="D25" i="6"/>
  <c r="H16" i="6"/>
  <c r="D16" i="6"/>
  <c r="C16" i="6"/>
  <c r="B16" i="6"/>
  <c r="E5" i="6"/>
  <c r="E4" i="6"/>
  <c r="B25" i="6" l="1"/>
  <c r="E25" i="6" l="1"/>
  <c r="F25" i="6" s="1"/>
  <c r="G25" i="6" s="1"/>
  <c r="E16" i="6"/>
  <c r="F16" i="6" s="1"/>
  <c r="G16" i="6" s="1"/>
  <c r="I16" i="6" l="1"/>
  <c r="I25" i="6"/>
  <c r="C142" i="4" l="1"/>
  <c r="H122" i="4"/>
  <c r="H123" i="4" s="1"/>
  <c r="F123" i="4" s="1"/>
  <c r="F124" i="4" s="1"/>
  <c r="B131" i="4" s="1"/>
  <c r="F131" i="4" l="1"/>
  <c r="G131" i="4" s="1"/>
  <c r="H131" i="4" s="1"/>
  <c r="M131" i="4" l="1"/>
  <c r="C143" i="4"/>
  <c r="C144" i="4" s="1"/>
  <c r="C1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F69" authorId="0" shapeId="0" xr:uid="{510161D2-9894-44D2-A7F1-43FB757FDA0B}">
      <text>
        <r>
          <rPr>
            <sz val="9"/>
            <color indexed="81"/>
            <rFont val="Tahoma"/>
            <family val="2"/>
          </rPr>
          <t>On élimine l'incidence de la prime non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8" authorId="0" shapeId="0" xr:uid="{3E4D7AF8-ECC8-4818-8A82-52E6FDBF3995}">
      <text>
        <r>
          <rPr>
            <sz val="9"/>
            <color indexed="81"/>
            <rFont val="Tahoma"/>
            <family val="2"/>
          </rPr>
          <t>On inclut  l'incidence de la prime 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F69" authorId="0" shapeId="0" xr:uid="{BF15D399-FB0C-43F8-AD57-1C2A6AEB25FF}">
      <text>
        <r>
          <rPr>
            <sz val="9"/>
            <color indexed="81"/>
            <rFont val="Tahoma"/>
            <family val="2"/>
          </rPr>
          <t>On élimine l'incidence de la prime non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8" authorId="0" shapeId="0" xr:uid="{6DF32DCA-8D82-4262-9827-E8D7D2503BA3}">
      <text>
        <r>
          <rPr>
            <sz val="9"/>
            <color indexed="81"/>
            <rFont val="Tahoma"/>
            <family val="2"/>
          </rPr>
          <t>On inclut  l'incidence de la prime  impactée par l'absenc</t>
        </r>
        <r>
          <rPr>
            <b/>
            <sz val="9"/>
            <color indexed="81"/>
            <rFont val="Tahoma"/>
            <family val="2"/>
          </rPr>
          <t xml:space="preserve">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" authorId="0" shapeId="0" xr:uid="{6ADCAB93-3218-4A42-B618-24C41BBC579D}">
      <text>
        <r>
          <rPr>
            <sz val="9"/>
            <color indexed="81"/>
            <rFont val="Tahoma"/>
            <family val="2"/>
          </rPr>
          <t xml:space="preserve">Cette cellule devra être renseignée sinon Excel considérera qu'elle se situe avant le 01/05/2025
</t>
        </r>
      </text>
    </comment>
  </commentList>
</comments>
</file>

<file path=xl/sharedStrings.xml><?xml version="1.0" encoding="utf-8"?>
<sst xmlns="http://schemas.openxmlformats.org/spreadsheetml/2006/main" count="542" uniqueCount="138">
  <si>
    <t>B</t>
  </si>
  <si>
    <t>C</t>
  </si>
  <si>
    <t>D</t>
  </si>
  <si>
    <t>E</t>
  </si>
  <si>
    <t>F</t>
  </si>
  <si>
    <t>G</t>
  </si>
  <si>
    <t>H</t>
  </si>
  <si>
    <t>I</t>
  </si>
  <si>
    <t>J</t>
  </si>
  <si>
    <t>Coefficient E&lt; 50 sal.</t>
  </si>
  <si>
    <t>T</t>
  </si>
  <si>
    <t>Cofficient E&gt;=50 sal.</t>
  </si>
  <si>
    <t xml:space="preserve">Effectifs de l'entreprise </t>
  </si>
  <si>
    <t xml:space="preserve">SMIC Horaire applicable </t>
  </si>
  <si>
    <t xml:space="preserve">Nombre d'heures "URSSAF" du mois </t>
  </si>
  <si>
    <t xml:space="preserve">Salaire brut du mois </t>
  </si>
  <si>
    <t xml:space="preserve">Nombre d'heures effectuées </t>
  </si>
  <si>
    <t xml:space="preserve">SMICH </t>
  </si>
  <si>
    <t>A</t>
  </si>
  <si>
    <t>B = A / (salaire brut soumis à cotisations)</t>
  </si>
  <si>
    <t xml:space="preserve">C  = B -1 </t>
  </si>
  <si>
    <r>
      <t xml:space="preserve"> </t>
    </r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 
 D = C *T/0,6</t>
    </r>
  </si>
  <si>
    <t xml:space="preserve">Réduction Gén. De Cot.  = D * Salaire brut soumis à cotisations </t>
  </si>
  <si>
    <t xml:space="preserve">1,6 *SMICH * Nombre d'heures effectuées </t>
  </si>
  <si>
    <t xml:space="preserve">Réduction FILLON = D * Salaire brut soumis à cotisations </t>
  </si>
  <si>
    <t xml:space="preserve">Entreprises de  moins de 50 salariés </t>
  </si>
  <si>
    <t xml:space="preserve">T dans la formulation ci-dessous </t>
  </si>
  <si>
    <t xml:space="preserve">Entreprises de 50 ou  + de 50 salariés </t>
  </si>
  <si>
    <t xml:space="preserve">Coefficient </t>
  </si>
  <si>
    <t>SMICH</t>
  </si>
  <si>
    <t xml:space="preserve">Application 1 </t>
  </si>
  <si>
    <t xml:space="preserve">Effectifs </t>
  </si>
  <si>
    <t xml:space="preserve">Salaire  brut soumis  à cotisations </t>
  </si>
  <si>
    <t xml:space="preserve">Heures URSSAF </t>
  </si>
  <si>
    <t>Mois de</t>
  </si>
  <si>
    <t xml:space="preserve">Septembre </t>
  </si>
  <si>
    <t xml:space="preserve">Entreprises de moins de 50 salariés </t>
  </si>
  <si>
    <t>Salaire de base</t>
  </si>
  <si>
    <t>Salaire brut soumis à cotisations</t>
  </si>
  <si>
    <t>Absence du 06/04 au  19/04</t>
  </si>
  <si>
    <t>Maintien de salaire  de  90%</t>
  </si>
  <si>
    <t xml:space="preserve">Selon la CC dés le  1 er jour d'absence </t>
  </si>
  <si>
    <t>IJSS Brute</t>
  </si>
  <si>
    <t>IJSS  = 1900*3*0,5/91,25</t>
  </si>
  <si>
    <t>SALAIRE  BRUT</t>
  </si>
  <si>
    <t xml:space="preserve">Prime (non impactée par l'absence) </t>
  </si>
  <si>
    <t>Application 5</t>
  </si>
  <si>
    <t xml:space="preserve">Application 7 </t>
  </si>
  <si>
    <t xml:space="preserve">Un salarié travaille à temps partiel 90   heures par mois pour un salaire de 1500 euros </t>
  </si>
  <si>
    <t>Heures complémentaires majorées 10 %</t>
  </si>
  <si>
    <t xml:space="preserve">Application 8 </t>
  </si>
  <si>
    <t xml:space="preserve">Soit les données suivantes concernant un salarié  TRAVAILLANT DANS UNE ENTREPRISE DE + de 50 salariés </t>
  </si>
  <si>
    <t>Mois</t>
  </si>
  <si>
    <t xml:space="preserve">Nombre d'heures </t>
  </si>
  <si>
    <t>Nombre d'heures cumulées</t>
  </si>
  <si>
    <t>Salaire brut</t>
  </si>
  <si>
    <t xml:space="preserve">Salaire brut cumulé </t>
  </si>
  <si>
    <t xml:space="preserve">Janvier </t>
  </si>
  <si>
    <t xml:space="preserve">Février </t>
  </si>
  <si>
    <t xml:space="preserve">Mars </t>
  </si>
  <si>
    <t xml:space="preserve">Avril </t>
  </si>
  <si>
    <t>Calcul de la Réduction Générale de Cotisations du Mois ( Matrice sur 1 mois isolé )</t>
  </si>
  <si>
    <t>Entreprises de 50 salariés ou plus de 50 salariés (Pour Contrôle calculs de la matrice dans le cas où l'entreprise a 50 ou plus de 50 salariés)</t>
  </si>
  <si>
    <t xml:space="preserve">Complétez le tableau ci-dessous  (Régularisation progressive) </t>
  </si>
  <si>
    <t xml:space="preserve">Cette matrice gére la modification  du paramètre T (cellules E4 et E5)  à iintervenir  à compter du  01/05/2025 </t>
  </si>
  <si>
    <t xml:space="preserve">Seules  Les  cellules en Jaune et en particulier la cellule E5 doivent  être renseignées </t>
  </si>
  <si>
    <t xml:space="preserve">Période de paie (début du mois ) </t>
  </si>
  <si>
    <t xml:space="preserve">Paramètre de calcul </t>
  </si>
  <si>
    <t>Ne pas modifier cette cellule équivalant au format nombre de la date du 01/05/2025</t>
  </si>
  <si>
    <t xml:space="preserve">Les cellules en jaune peuvent être modifiées (variables) </t>
  </si>
  <si>
    <t xml:space="preserve">Paramètres 2026  et Variables </t>
  </si>
  <si>
    <t xml:space="preserve">Coefficients 2026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</si>
  <si>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</si>
  <si>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</si>
  <si>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</si>
  <si>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</si>
  <si>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</si>
  <si>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</si>
  <si>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</si>
  <si>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</si>
  <si>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</si>
  <si>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</si>
  <si>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J = I + A</t>
  </si>
  <si>
    <t>K</t>
  </si>
  <si>
    <t>Réduction</t>
  </si>
  <si>
    <t xml:space="preserve">Le montant de la réduction est arrondi avec 2 chiffres après la virgule </t>
  </si>
  <si>
    <t xml:space="preserve">3*SMICH * Nombre d'heures effectuées </t>
  </si>
  <si>
    <t xml:space="preserve"> 
 D = C/2</t>
  </si>
  <si>
    <t>F = G Puissance 1,75</t>
  </si>
  <si>
    <t>Coefficient Minimum</t>
  </si>
  <si>
    <t xml:space="preserve">Applicable à toutes les entreprises </t>
  </si>
  <si>
    <t>Tdelta</t>
  </si>
  <si>
    <t xml:space="preserve">E=D*Tdelta </t>
  </si>
  <si>
    <t xml:space="preserve">G = Coefficient minimum (2%) + F
Arrondi à 4 Chiffres après la virgule </t>
  </si>
  <si>
    <t xml:space="preserve">Nombre d'heures effectuées (Heures URSSAF) </t>
  </si>
  <si>
    <t xml:space="preserve">Réduction Générale Dégressive Unique (RGDU)
Arrondie à 2 chiffres après la virgule </t>
  </si>
  <si>
    <t>Application 2</t>
  </si>
  <si>
    <t>Application 3</t>
  </si>
  <si>
    <t xml:space="preserve">70 heures d'absence sur 1 mois de 154 heures  Heures travaillées :84 heures </t>
  </si>
  <si>
    <t>151,67*1595,01/1900</t>
  </si>
  <si>
    <t xml:space="preserve">151,67 * Salaire brut du mois / Salaire brut Habituel </t>
  </si>
  <si>
    <t>Janvier</t>
  </si>
  <si>
    <t xml:space="preserve">7 IJSS compte tenu du délai de carence </t>
  </si>
  <si>
    <t>IJSS  = 2000*3*0,5/91,25</t>
  </si>
  <si>
    <t>151,67*(1878,95-200)/2000</t>
  </si>
  <si>
    <t xml:space="preserve">(hors prime) </t>
  </si>
  <si>
    <t xml:space="preserve">151,67 * Salaire brut du mois ( hors prime)  / Salaire brut Habituel </t>
  </si>
  <si>
    <t>Application 4</t>
  </si>
  <si>
    <t xml:space="preserve">Prime de 200 euros  impactée par l'absence </t>
  </si>
  <si>
    <t xml:space="preserve">Prime de 200 euros non impactée par l'absence </t>
  </si>
  <si>
    <t xml:space="preserve">Prime ( impactée par l'absence) </t>
  </si>
  <si>
    <t xml:space="preserve">(y compris la  prime) </t>
  </si>
  <si>
    <t xml:space="preserve">151,67 * Salaire brut du mois ( dont  prime)  / Salaire brut Habituel </t>
  </si>
  <si>
    <t>151,67*(1788,04)/(2000+ 200)</t>
  </si>
  <si>
    <t>Application 6</t>
  </si>
  <si>
    <t xml:space="preserve">Entreprises d'au moins  50 salariés </t>
  </si>
  <si>
    <t xml:space="preserve">Entreprises d'au  moins  50 salariés </t>
  </si>
  <si>
    <t>B = A / (salaire brut cumulé soumis à cotisations)</t>
  </si>
  <si>
    <t xml:space="preserve">Réduction Générale Dégressive Unique (RGDU) Cumulée 
Arrondie à 2 chiffres après la virgule </t>
  </si>
  <si>
    <t xml:space="preserve">Réduction Générale Dégressive Unique (RGDU) du mois 
Arrondie à 2 chiffres après la virgule </t>
  </si>
  <si>
    <t>Taux minimum</t>
  </si>
  <si>
    <t>Taux maximum</t>
  </si>
  <si>
    <t>Cf  feuille BOSS 2026</t>
  </si>
  <si>
    <t xml:space="preserve">E=D Puissance 1,75 </t>
  </si>
  <si>
    <t>F = Tdelta * E</t>
  </si>
  <si>
    <t xml:space="preserve">G = Coefficient minimum (2%) + F
</t>
  </si>
  <si>
    <t>G Puissance 1,75</t>
  </si>
  <si>
    <t>H*B</t>
  </si>
  <si>
    <t xml:space="preserve">Le coefficient est arrondi à 4 chiffres après la virgule </t>
  </si>
  <si>
    <t>(35*52/12)*1595,01/1900</t>
  </si>
  <si>
    <t>(35*52/12)*(1878,95-200)/2000</t>
  </si>
  <si>
    <t>(35*52/12)*(1788,04)/(2000+ 200)</t>
  </si>
  <si>
    <t>Heures URSSAF</t>
  </si>
  <si>
    <t xml:space="preserve">Strictement on prend 35*52 / 12 </t>
  </si>
  <si>
    <t>Tolérance pour un calcul avec 151,67</t>
  </si>
  <si>
    <t xml:space="preserve">BTP </t>
  </si>
  <si>
    <t xml:space="preserve">Coefficient définitif BTP </t>
  </si>
  <si>
    <t xml:space="preserve">Le coefficient dans le BTP  est affecté du rapport 100 / 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</si>
</sst>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0.0000"/>
    <numFmt numFmtId="166" formatCode="_-* #,##0.0000\ _€_-;\-* #,##0.0000\ _€_-;_-* &quot;-&quot;??\ _€_-;_-@_-"/>
    <numFmt numFmtId="167" formatCode="_-* #,##0.00000\ _€_-;\-* #,##0.00000\ _€_-;_-* &quot;-&quot;??\ _€_-;_-@_-"/>
    <numFmt numFmtId="168" formatCode="_-* #,##0.000000\ _€_-;\-* #,##0.000000\ _€_-;_-* &quot;-&quot;??\ _€_-;_-@_-"/>
    <numFmt numFmtId="169" formatCode="_-* #,##0.0000000\ _€_-;\-* #,##0.0000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theme="0"/>
      <name val="Times New Roman"/>
      <family val="1"/>
    </font>
    <font>
      <sz val="11"/>
      <color theme="0"/>
      <name val="Times New Roman"/>
      <family val="1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z val="9"/>
      <color indexed="81"/>
      <name val="Tahoma"/>
      <family val="2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4" fontId="2" fillId="0" borderId="1" xfId="1" applyFont="1" applyBorder="1" applyAlignment="1">
      <alignment horizontal="center"/>
    </xf>
    <xf numFmtId="0" fontId="5" fillId="0" borderId="0" xfId="0" applyFont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4" fontId="2" fillId="0" borderId="0" xfId="0" applyNumberFormat="1" applyFont="1"/>
    <xf numFmtId="164" fontId="2" fillId="0" borderId="1" xfId="1" applyFont="1" applyBorder="1"/>
    <xf numFmtId="2" fontId="2" fillId="0" borderId="1" xfId="0" applyNumberFormat="1" applyFont="1" applyBorder="1" applyAlignment="1">
      <alignment horizontal="center"/>
    </xf>
    <xf numFmtId="2" fontId="2" fillId="0" borderId="9" xfId="0" applyNumberFormat="1" applyFont="1" applyBorder="1"/>
    <xf numFmtId="165" fontId="2" fillId="0" borderId="9" xfId="0" applyNumberFormat="1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165" fontId="2" fillId="0" borderId="14" xfId="0" applyNumberFormat="1" applyFont="1" applyBorder="1"/>
    <xf numFmtId="0" fontId="2" fillId="0" borderId="0" xfId="0" applyFont="1" applyAlignment="1">
      <alignment horizontal="center" vertical="center" wrapText="1"/>
    </xf>
    <xf numFmtId="4" fontId="2" fillId="2" borderId="9" xfId="0" applyNumberFormat="1" applyFont="1" applyFill="1" applyBorder="1"/>
    <xf numFmtId="4" fontId="2" fillId="2" borderId="15" xfId="0" applyNumberFormat="1" applyFont="1" applyFill="1" applyBorder="1"/>
    <xf numFmtId="14" fontId="2" fillId="0" borderId="0" xfId="0" applyNumberFormat="1" applyFont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43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9" fontId="2" fillId="0" borderId="0" xfId="0" applyNumberFormat="1" applyFont="1"/>
    <xf numFmtId="9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164" fontId="2" fillId="2" borderId="1" xfId="1" applyFont="1" applyFill="1" applyBorder="1" applyAlignment="1"/>
    <xf numFmtId="165" fontId="2" fillId="0" borderId="0" xfId="0" applyNumberFormat="1" applyFont="1" applyAlignment="1">
      <alignment horizontal="center"/>
    </xf>
    <xf numFmtId="0" fontId="2" fillId="2" borderId="12" xfId="0" applyFont="1" applyFill="1" applyBorder="1"/>
    <xf numFmtId="164" fontId="2" fillId="2" borderId="12" xfId="1" applyFont="1" applyFill="1" applyBorder="1" applyAlignment="1"/>
    <xf numFmtId="0" fontId="11" fillId="0" borderId="9" xfId="0" applyFont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164" fontId="2" fillId="2" borderId="12" xfId="1" applyFont="1" applyFill="1" applyBorder="1" applyAlignment="1">
      <alignment horizontal="center"/>
    </xf>
    <xf numFmtId="0" fontId="4" fillId="0" borderId="0" xfId="0" applyFont="1"/>
    <xf numFmtId="2" fontId="2" fillId="2" borderId="12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6" fontId="2" fillId="0" borderId="1" xfId="1" applyNumberFormat="1" applyFont="1" applyBorder="1"/>
    <xf numFmtId="2" fontId="2" fillId="0" borderId="0" xfId="0" applyNumberFormat="1" applyFont="1"/>
    <xf numFmtId="9" fontId="0" fillId="0" borderId="0" xfId="0" applyNumberFormat="1"/>
    <xf numFmtId="10" fontId="0" fillId="0" borderId="0" xfId="0" applyNumberFormat="1"/>
    <xf numFmtId="10" fontId="0" fillId="0" borderId="0" xfId="2" applyNumberFormat="1" applyFont="1"/>
    <xf numFmtId="10" fontId="2" fillId="0" borderId="1" xfId="0" applyNumberFormat="1" applyFont="1" applyBorder="1" applyAlignment="1">
      <alignment horizontal="center"/>
    </xf>
    <xf numFmtId="167" fontId="2" fillId="0" borderId="1" xfId="1" applyNumberFormat="1" applyFont="1" applyBorder="1"/>
    <xf numFmtId="164" fontId="9" fillId="2" borderId="1" xfId="1" applyFont="1" applyFill="1" applyBorder="1" applyAlignment="1">
      <alignment horizontal="center" vertical="center" wrapText="1"/>
    </xf>
    <xf numFmtId="166" fontId="9" fillId="0" borderId="1" xfId="1" quotePrefix="1" applyNumberFormat="1" applyFont="1" applyBorder="1" applyAlignment="1">
      <alignment horizontal="center" vertical="center" wrapText="1"/>
    </xf>
    <xf numFmtId="0" fontId="7" fillId="7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center" wrapText="1"/>
    </xf>
    <xf numFmtId="164" fontId="2" fillId="0" borderId="6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164" fontId="2" fillId="0" borderId="1" xfId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3" xfId="0" applyNumberFormat="1" applyFont="1" applyBorder="1" applyAlignment="1">
      <alignment horizontal="center" vertical="center" wrapText="1"/>
    </xf>
    <xf numFmtId="16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5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64" fontId="4" fillId="3" borderId="5" xfId="1" applyFont="1" applyFill="1" applyBorder="1" applyAlignment="1">
      <alignment horizontal="center" vertical="center" wrapText="1"/>
    </xf>
    <xf numFmtId="164" fontId="4" fillId="3" borderId="0" xfId="1" applyFont="1" applyFill="1" applyBorder="1" applyAlignment="1">
      <alignment horizontal="center" vertical="center" wrapText="1"/>
    </xf>
    <xf numFmtId="164" fontId="4" fillId="3" borderId="7" xfId="1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13</xdr:col>
      <xdr:colOff>287066</xdr:colOff>
      <xdr:row>8</xdr:row>
      <xdr:rowOff>66870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C35F55-D6C2-4FC6-9234-41997BCD1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9431066" cy="1400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B0D5CE-C68D-45EA-A07A-F632C9381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9A139F-2BE7-4BDF-B857-4D6084D34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723DAD-88B9-499D-AC7E-9D210AF54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A9CF0F-9DCE-4315-9F8D-72781CBEF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7E04-5613-43E9-A9BE-BFB4A3E98742}">
  <dimension ref="B11:F13"/>
  <sheetViews>
    <sheetView workbookViewId="0">
      <selection activeCell="D12" sqref="D12:D13"/>
    </sheetView>
  </sheetViews>
  <sheetFormatPr baseColWidth="10" defaultRowHeight="15" x14ac:dyDescent="0.25"/>
  <sheetData>
    <row r="11" spans="2:6" x14ac:dyDescent="0.25">
      <c r="B11" t="s">
        <v>120</v>
      </c>
      <c r="D11" t="s">
        <v>28</v>
      </c>
      <c r="F11" t="s">
        <v>121</v>
      </c>
    </row>
    <row r="12" spans="2:6" x14ac:dyDescent="0.25">
      <c r="B12" s="63">
        <v>0.02</v>
      </c>
      <c r="D12" s="65">
        <f>+F12-B12</f>
        <v>0.37809999999999999</v>
      </c>
      <c r="F12" s="64">
        <v>0.39810000000000001</v>
      </c>
    </row>
    <row r="13" spans="2:6" x14ac:dyDescent="0.25">
      <c r="B13" s="63">
        <v>0.02</v>
      </c>
      <c r="D13" s="65">
        <f>+F13-B13</f>
        <v>0.3821</v>
      </c>
      <c r="F13" s="64">
        <v>0.40210000000000001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8879E-E1C2-4DB1-99B6-BE199317B463}">
  <dimension ref="A1:P152"/>
  <sheetViews>
    <sheetView workbookViewId="0">
      <selection activeCell="H13" sqref="H13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1"/>
    <col min="3" max="3" width="12.42578125" style="1" customWidth="1"/>
    <col min="4" max="4" width="13.42578125" style="1" customWidth="1"/>
    <col min="5" max="5" width="20.140625" style="1" customWidth="1"/>
    <col min="6" max="6" width="19.7109375" style="1" customWidth="1"/>
    <col min="7" max="7" width="14.42578125" style="1" customWidth="1"/>
    <col min="8" max="8" width="15.7109375" style="1" customWidth="1"/>
    <col min="9" max="9" width="12.140625" style="1" customWidth="1"/>
    <col min="10" max="10" width="9.5703125" style="1" customWidth="1"/>
    <col min="11" max="11" width="14.42578125" style="1" customWidth="1"/>
    <col min="12" max="12" width="11.42578125" style="1"/>
    <col min="13" max="13" width="13.85546875" style="1" customWidth="1"/>
    <col min="14" max="16384" width="11.42578125" style="1"/>
  </cols>
  <sheetData>
    <row r="1" spans="2:9" x14ac:dyDescent="0.25">
      <c r="B1" s="1" t="s">
        <v>90</v>
      </c>
      <c r="E1" s="1" t="s">
        <v>89</v>
      </c>
      <c r="F1" s="49">
        <v>0.02</v>
      </c>
    </row>
    <row r="2" spans="2:9" x14ac:dyDescent="0.25">
      <c r="F2" s="48"/>
    </row>
    <row r="3" spans="2:9" x14ac:dyDescent="0.25">
      <c r="B3" s="1" t="s">
        <v>25</v>
      </c>
    </row>
    <row r="4" spans="2:9" x14ac:dyDescent="0.25">
      <c r="E4" s="1" t="s">
        <v>91</v>
      </c>
      <c r="F4" s="66">
        <f>'BOSS 2026'!D12</f>
        <v>0.37809999999999999</v>
      </c>
      <c r="G4" s="1" t="s">
        <v>26</v>
      </c>
      <c r="I4" s="1" t="s">
        <v>122</v>
      </c>
    </row>
    <row r="6" spans="2:9" x14ac:dyDescent="0.25">
      <c r="B6" s="1" t="s">
        <v>27</v>
      </c>
      <c r="E6" s="1" t="s">
        <v>75</v>
      </c>
      <c r="F6" s="66">
        <f>'BOSS 2026'!D13</f>
        <v>0.3821</v>
      </c>
      <c r="G6" s="1" t="s">
        <v>26</v>
      </c>
      <c r="I6" s="1" t="s">
        <v>122</v>
      </c>
    </row>
    <row r="8" spans="2:9" x14ac:dyDescent="0.25">
      <c r="E8" s="2" t="s">
        <v>29</v>
      </c>
      <c r="F8" s="5">
        <v>12.02</v>
      </c>
      <c r="G8" s="29">
        <v>46023</v>
      </c>
    </row>
    <row r="10" spans="2:9" x14ac:dyDescent="0.25">
      <c r="B10" s="13" t="s">
        <v>30</v>
      </c>
    </row>
    <row r="12" spans="2:9" x14ac:dyDescent="0.25">
      <c r="C12" s="74" t="s">
        <v>31</v>
      </c>
      <c r="D12" s="74"/>
      <c r="E12" s="75"/>
      <c r="F12" s="8">
        <v>40</v>
      </c>
    </row>
    <row r="13" spans="2:9" x14ac:dyDescent="0.25">
      <c r="C13" s="74" t="s">
        <v>32</v>
      </c>
      <c r="D13" s="74"/>
      <c r="E13" s="75"/>
      <c r="F13" s="9">
        <v>2000</v>
      </c>
    </row>
    <row r="14" spans="2:9" x14ac:dyDescent="0.25">
      <c r="C14" s="74" t="s">
        <v>94</v>
      </c>
      <c r="D14" s="74"/>
      <c r="E14" s="75"/>
      <c r="F14" s="8">
        <v>151.66999999999999</v>
      </c>
    </row>
    <row r="15" spans="2:9" x14ac:dyDescent="0.25">
      <c r="C15" s="74" t="s">
        <v>34</v>
      </c>
      <c r="D15" s="74"/>
      <c r="E15" s="75"/>
      <c r="F15" s="5" t="s">
        <v>35</v>
      </c>
    </row>
    <row r="17" spans="2:13" ht="28.5" customHeight="1" x14ac:dyDescent="0.25">
      <c r="B17" s="76" t="s">
        <v>36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2:13" s="4" customFormat="1" ht="54.75" customHeight="1" x14ac:dyDescent="0.2">
      <c r="B18" s="77" t="s">
        <v>15</v>
      </c>
      <c r="C18" s="77" t="s">
        <v>16</v>
      </c>
      <c r="D18" s="77" t="s">
        <v>17</v>
      </c>
      <c r="E18" s="3" t="s">
        <v>18</v>
      </c>
      <c r="F18" s="71" t="s">
        <v>19</v>
      </c>
      <c r="G18" s="71" t="s">
        <v>20</v>
      </c>
      <c r="H18" s="71" t="s">
        <v>87</v>
      </c>
      <c r="I18" s="71" t="s">
        <v>92</v>
      </c>
      <c r="J18" s="71"/>
      <c r="K18" s="71" t="s">
        <v>88</v>
      </c>
      <c r="L18" s="71" t="s">
        <v>93</v>
      </c>
      <c r="M18" s="71" t="s">
        <v>95</v>
      </c>
    </row>
    <row r="19" spans="2:13" ht="38.25" customHeight="1" x14ac:dyDescent="0.25">
      <c r="B19" s="72"/>
      <c r="C19" s="72"/>
      <c r="D19" s="72"/>
      <c r="E19" s="72" t="s">
        <v>86</v>
      </c>
      <c r="F19" s="71"/>
      <c r="G19" s="71"/>
      <c r="H19" s="71"/>
      <c r="I19" s="71"/>
      <c r="J19" s="71"/>
      <c r="K19" s="71"/>
      <c r="L19" s="71"/>
      <c r="M19" s="71"/>
    </row>
    <row r="20" spans="2:13" ht="38.25" customHeight="1" x14ac:dyDescent="0.25">
      <c r="B20" s="73"/>
      <c r="C20" s="73"/>
      <c r="D20" s="73"/>
      <c r="E20" s="73"/>
      <c r="F20" s="71"/>
      <c r="G20" s="71"/>
      <c r="H20" s="71"/>
      <c r="I20" s="71"/>
      <c r="J20" s="71"/>
      <c r="K20" s="71"/>
      <c r="L20" s="71"/>
      <c r="M20" s="71"/>
    </row>
    <row r="21" spans="2:13" x14ac:dyDescent="0.25">
      <c r="B21" s="84"/>
      <c r="C21" s="72"/>
      <c r="D21" s="72"/>
      <c r="E21" s="72"/>
      <c r="F21" s="78"/>
      <c r="G21" s="78"/>
      <c r="H21" s="78"/>
      <c r="I21" s="79"/>
      <c r="J21" s="80"/>
      <c r="K21" s="71"/>
      <c r="L21" s="83"/>
      <c r="M21" s="71"/>
    </row>
    <row r="22" spans="2:13" x14ac:dyDescent="0.25">
      <c r="B22" s="71"/>
      <c r="C22" s="73"/>
      <c r="D22" s="73"/>
      <c r="E22" s="73"/>
      <c r="F22" s="73"/>
      <c r="G22" s="73"/>
      <c r="H22" s="73"/>
      <c r="I22" s="81"/>
      <c r="J22" s="82"/>
      <c r="K22" s="71"/>
      <c r="L22" s="83"/>
      <c r="M22" s="71"/>
    </row>
    <row r="24" spans="2:13" x14ac:dyDescent="0.25">
      <c r="B24" s="13" t="s">
        <v>96</v>
      </c>
    </row>
    <row r="26" spans="2:13" x14ac:dyDescent="0.25">
      <c r="C26" s="74" t="s">
        <v>31</v>
      </c>
      <c r="D26" s="74"/>
      <c r="E26" s="75"/>
      <c r="F26" s="50">
        <v>30</v>
      </c>
    </row>
    <row r="27" spans="2:13" x14ac:dyDescent="0.25">
      <c r="C27" s="74" t="s">
        <v>32</v>
      </c>
      <c r="D27" s="74"/>
      <c r="E27" s="75"/>
      <c r="F27" s="51">
        <v>2138.81</v>
      </c>
    </row>
    <row r="28" spans="2:13" x14ac:dyDescent="0.25">
      <c r="C28" s="74" t="s">
        <v>94</v>
      </c>
      <c r="D28" s="74"/>
      <c r="E28" s="75"/>
      <c r="F28" s="50">
        <v>169</v>
      </c>
    </row>
    <row r="29" spans="2:13" x14ac:dyDescent="0.25">
      <c r="C29" s="74" t="s">
        <v>34</v>
      </c>
      <c r="D29" s="74"/>
      <c r="E29" s="75"/>
      <c r="F29" s="5" t="s">
        <v>35</v>
      </c>
    </row>
    <row r="31" spans="2:13" ht="28.5" customHeight="1" x14ac:dyDescent="0.25">
      <c r="B31" s="71" t="s">
        <v>36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pans="2:13" s="4" customFormat="1" ht="54.75" customHeight="1" x14ac:dyDescent="0.2">
      <c r="B32" s="77" t="s">
        <v>15</v>
      </c>
      <c r="C32" s="77" t="s">
        <v>16</v>
      </c>
      <c r="D32" s="77" t="s">
        <v>17</v>
      </c>
      <c r="E32" s="3" t="s">
        <v>18</v>
      </c>
      <c r="F32" s="71" t="s">
        <v>19</v>
      </c>
      <c r="G32" s="71" t="s">
        <v>20</v>
      </c>
      <c r="H32" s="71" t="s">
        <v>87</v>
      </c>
      <c r="I32" s="71" t="s">
        <v>92</v>
      </c>
      <c r="J32" s="71"/>
      <c r="K32" s="71" t="s">
        <v>88</v>
      </c>
      <c r="L32" s="71" t="s">
        <v>93</v>
      </c>
      <c r="M32" s="71" t="s">
        <v>95</v>
      </c>
    </row>
    <row r="33" spans="2:13" ht="38.25" customHeight="1" x14ac:dyDescent="0.25">
      <c r="B33" s="72"/>
      <c r="C33" s="72"/>
      <c r="D33" s="72"/>
      <c r="E33" s="72" t="s">
        <v>86</v>
      </c>
      <c r="F33" s="71"/>
      <c r="G33" s="71"/>
      <c r="H33" s="71"/>
      <c r="I33" s="71"/>
      <c r="J33" s="71"/>
      <c r="K33" s="71"/>
      <c r="L33" s="71"/>
      <c r="M33" s="71"/>
    </row>
    <row r="34" spans="2:13" ht="38.25" customHeight="1" x14ac:dyDescent="0.25">
      <c r="B34" s="73"/>
      <c r="C34" s="73"/>
      <c r="D34" s="73"/>
      <c r="E34" s="73"/>
      <c r="F34" s="71"/>
      <c r="G34" s="71"/>
      <c r="H34" s="71"/>
      <c r="I34" s="71"/>
      <c r="J34" s="71"/>
      <c r="K34" s="71"/>
      <c r="L34" s="71"/>
      <c r="M34" s="71"/>
    </row>
    <row r="35" spans="2:13" x14ac:dyDescent="0.25">
      <c r="B35" s="84"/>
      <c r="C35" s="72"/>
      <c r="D35" s="72"/>
      <c r="E35" s="72"/>
      <c r="F35" s="78"/>
      <c r="G35" s="78"/>
      <c r="H35" s="78"/>
      <c r="I35" s="79"/>
      <c r="J35" s="80"/>
      <c r="K35" s="71"/>
      <c r="L35" s="83"/>
      <c r="M35" s="71"/>
    </row>
    <row r="36" spans="2:13" x14ac:dyDescent="0.25">
      <c r="B36" s="71"/>
      <c r="C36" s="73"/>
      <c r="D36" s="73"/>
      <c r="E36" s="73"/>
      <c r="F36" s="73"/>
      <c r="G36" s="73"/>
      <c r="H36" s="73"/>
      <c r="I36" s="81"/>
      <c r="J36" s="82"/>
      <c r="K36" s="71"/>
      <c r="L36" s="83"/>
      <c r="M36" s="71"/>
    </row>
    <row r="39" spans="2:13" x14ac:dyDescent="0.25">
      <c r="B39" s="13" t="s">
        <v>97</v>
      </c>
    </row>
    <row r="41" spans="2:13" ht="15.75" x14ac:dyDescent="0.25">
      <c r="C41" s="85" t="s">
        <v>37</v>
      </c>
      <c r="D41" s="85"/>
      <c r="E41" s="20">
        <v>151.66999999999999</v>
      </c>
      <c r="F41" s="21">
        <f>G41/E41</f>
        <v>12.527197204457046</v>
      </c>
      <c r="G41" s="27">
        <v>1900</v>
      </c>
    </row>
    <row r="42" spans="2:13" ht="15.75" x14ac:dyDescent="0.25">
      <c r="C42" s="85" t="s">
        <v>39</v>
      </c>
      <c r="D42" s="85"/>
      <c r="E42" s="22"/>
      <c r="F42" s="21"/>
      <c r="G42" s="27">
        <f>-1900*10/22</f>
        <v>-863.63636363636363</v>
      </c>
      <c r="H42" s="1" t="s">
        <v>98</v>
      </c>
    </row>
    <row r="43" spans="2:13" ht="15.75" x14ac:dyDescent="0.25">
      <c r="C43" s="86" t="s">
        <v>40</v>
      </c>
      <c r="D43" s="86"/>
      <c r="E43" s="22"/>
      <c r="F43" s="21"/>
      <c r="G43" s="27">
        <f>0.9*G41*10/22</f>
        <v>777.27272727272725</v>
      </c>
      <c r="H43" s="1" t="s">
        <v>41</v>
      </c>
    </row>
    <row r="44" spans="2:13" ht="15.75" x14ac:dyDescent="0.25">
      <c r="C44" s="87" t="s">
        <v>42</v>
      </c>
      <c r="D44" s="87"/>
      <c r="E44" s="22"/>
      <c r="F44" s="21"/>
      <c r="G44" s="28">
        <f>-7*1900*3*0.5/91.25</f>
        <v>-218.63013698630138</v>
      </c>
      <c r="H44" s="1" t="s">
        <v>43</v>
      </c>
      <c r="J44" s="1" t="s">
        <v>102</v>
      </c>
    </row>
    <row r="45" spans="2:13" ht="15.75" x14ac:dyDescent="0.25">
      <c r="C45" s="85" t="s">
        <v>44</v>
      </c>
      <c r="D45" s="85"/>
      <c r="E45" s="23"/>
      <c r="F45" s="24"/>
      <c r="G45" s="14">
        <f>SUM(G41:G44)</f>
        <v>1595.0062266500624</v>
      </c>
    </row>
    <row r="46" spans="2:13" x14ac:dyDescent="0.25">
      <c r="C46" s="10"/>
      <c r="D46" s="10"/>
      <c r="E46" s="6"/>
      <c r="F46" s="52"/>
      <c r="G46" s="17"/>
    </row>
    <row r="47" spans="2:13" x14ac:dyDescent="0.25">
      <c r="C47" s="88" t="s">
        <v>31</v>
      </c>
      <c r="D47" s="88"/>
      <c r="E47" s="88"/>
      <c r="F47" s="53">
        <v>60</v>
      </c>
    </row>
    <row r="48" spans="2:13" x14ac:dyDescent="0.25">
      <c r="C48" s="88" t="s">
        <v>32</v>
      </c>
      <c r="D48" s="88"/>
      <c r="E48" s="88"/>
      <c r="F48" s="54">
        <f>G45</f>
        <v>1595.0062266500624</v>
      </c>
    </row>
    <row r="49" spans="2:13" x14ac:dyDescent="0.25">
      <c r="C49" s="88" t="s">
        <v>94</v>
      </c>
      <c r="D49" s="88"/>
      <c r="E49" s="88"/>
      <c r="F49" s="53">
        <f>151.67*G45/G41</f>
        <v>127.32347073474472</v>
      </c>
      <c r="G49" s="1" t="s">
        <v>99</v>
      </c>
      <c r="I49" s="1" t="s">
        <v>100</v>
      </c>
    </row>
    <row r="50" spans="2:13" x14ac:dyDescent="0.25">
      <c r="C50" s="88" t="s">
        <v>34</v>
      </c>
      <c r="D50" s="88"/>
      <c r="E50" s="88"/>
      <c r="F50" s="7" t="s">
        <v>101</v>
      </c>
    </row>
    <row r="52" spans="2:13" ht="28.5" customHeight="1" x14ac:dyDescent="0.25">
      <c r="B52" s="71" t="s">
        <v>116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2:13" s="4" customFormat="1" ht="54.75" customHeight="1" x14ac:dyDescent="0.2">
      <c r="B53" s="77" t="s">
        <v>15</v>
      </c>
      <c r="C53" s="77" t="s">
        <v>16</v>
      </c>
      <c r="D53" s="77" t="s">
        <v>17</v>
      </c>
      <c r="E53" s="3" t="s">
        <v>18</v>
      </c>
      <c r="F53" s="71" t="s">
        <v>19</v>
      </c>
      <c r="G53" s="71" t="s">
        <v>20</v>
      </c>
      <c r="H53" s="71" t="s">
        <v>87</v>
      </c>
      <c r="I53" s="71" t="s">
        <v>92</v>
      </c>
      <c r="J53" s="71"/>
      <c r="K53" s="71" t="s">
        <v>88</v>
      </c>
      <c r="L53" s="71" t="s">
        <v>93</v>
      </c>
      <c r="M53" s="71" t="s">
        <v>95</v>
      </c>
    </row>
    <row r="54" spans="2:13" ht="38.25" customHeight="1" x14ac:dyDescent="0.25">
      <c r="B54" s="72"/>
      <c r="C54" s="72"/>
      <c r="D54" s="72"/>
      <c r="E54" s="72" t="s">
        <v>86</v>
      </c>
      <c r="F54" s="71"/>
      <c r="G54" s="71"/>
      <c r="H54" s="71"/>
      <c r="I54" s="71"/>
      <c r="J54" s="71"/>
      <c r="K54" s="71"/>
      <c r="L54" s="71"/>
      <c r="M54" s="71"/>
    </row>
    <row r="55" spans="2:13" ht="38.25" customHeight="1" x14ac:dyDescent="0.25">
      <c r="B55" s="73"/>
      <c r="C55" s="73"/>
      <c r="D55" s="73"/>
      <c r="E55" s="73"/>
      <c r="F55" s="71"/>
      <c r="G55" s="71"/>
      <c r="H55" s="71"/>
      <c r="I55" s="71"/>
      <c r="J55" s="71"/>
      <c r="K55" s="71"/>
      <c r="L55" s="71"/>
      <c r="M55" s="71"/>
    </row>
    <row r="56" spans="2:13" x14ac:dyDescent="0.25">
      <c r="B56" s="84"/>
      <c r="C56" s="72"/>
      <c r="D56" s="72"/>
      <c r="E56" s="72"/>
      <c r="F56" s="78"/>
      <c r="G56" s="78"/>
      <c r="H56" s="78"/>
      <c r="I56" s="79"/>
      <c r="J56" s="80"/>
      <c r="K56" s="71"/>
      <c r="L56" s="83"/>
      <c r="M56" s="71"/>
    </row>
    <row r="57" spans="2:13" x14ac:dyDescent="0.25">
      <c r="B57" s="71"/>
      <c r="C57" s="73"/>
      <c r="D57" s="73"/>
      <c r="E57" s="73"/>
      <c r="F57" s="73"/>
      <c r="G57" s="73"/>
      <c r="H57" s="73"/>
      <c r="I57" s="81"/>
      <c r="J57" s="82"/>
      <c r="K57" s="71"/>
      <c r="L57" s="83"/>
      <c r="M57" s="71"/>
    </row>
    <row r="59" spans="2:13" x14ac:dyDescent="0.25">
      <c r="B59" s="58" t="s">
        <v>107</v>
      </c>
      <c r="D59" s="1" t="s">
        <v>109</v>
      </c>
    </row>
    <row r="61" spans="2:13" ht="15.75" x14ac:dyDescent="0.25">
      <c r="C61" s="85" t="s">
        <v>37</v>
      </c>
      <c r="D61" s="85"/>
      <c r="E61" s="20">
        <v>151.66999999999999</v>
      </c>
      <c r="F61" s="25">
        <f>G61/E61</f>
        <v>13.18652337311268</v>
      </c>
      <c r="G61" s="14">
        <v>2000</v>
      </c>
    </row>
    <row r="62" spans="2:13" ht="15.75" x14ac:dyDescent="0.25">
      <c r="C62" s="85" t="s">
        <v>39</v>
      </c>
      <c r="D62" s="85"/>
      <c r="E62" s="22"/>
      <c r="F62" s="25"/>
      <c r="G62" s="14">
        <f>-G61*10/22</f>
        <v>-909.09090909090912</v>
      </c>
      <c r="H62" s="1" t="s">
        <v>98</v>
      </c>
    </row>
    <row r="63" spans="2:13" ht="15.75" x14ac:dyDescent="0.25">
      <c r="C63" s="86" t="s">
        <v>40</v>
      </c>
      <c r="D63" s="86"/>
      <c r="E63" s="22"/>
      <c r="F63" s="25"/>
      <c r="G63" s="14">
        <f>0.9*G61*10/22</f>
        <v>818.18181818181813</v>
      </c>
      <c r="H63" s="1" t="s">
        <v>41</v>
      </c>
    </row>
    <row r="64" spans="2:13" ht="15.75" x14ac:dyDescent="0.25">
      <c r="C64" s="87" t="s">
        <v>42</v>
      </c>
      <c r="D64" s="87"/>
      <c r="E64" s="22"/>
      <c r="F64" s="25"/>
      <c r="G64" s="14">
        <f>-7*2000*3*0.5/91.25</f>
        <v>-230.13698630136986</v>
      </c>
      <c r="H64" s="1" t="s">
        <v>103</v>
      </c>
      <c r="J64" s="1" t="s">
        <v>102</v>
      </c>
    </row>
    <row r="65" spans="2:13" ht="15.75" x14ac:dyDescent="0.25">
      <c r="C65" s="55" t="s">
        <v>45</v>
      </c>
      <c r="D65" s="55"/>
      <c r="E65" s="22"/>
      <c r="F65" s="25"/>
      <c r="G65" s="14">
        <v>200</v>
      </c>
    </row>
    <row r="66" spans="2:13" x14ac:dyDescent="0.25">
      <c r="C66" s="89" t="s">
        <v>44</v>
      </c>
      <c r="D66" s="89"/>
      <c r="E66" s="23"/>
      <c r="F66" s="24"/>
      <c r="G66" s="14">
        <f>SUM(G61:G65)</f>
        <v>1878.9539227895391</v>
      </c>
    </row>
    <row r="67" spans="2:13" x14ac:dyDescent="0.25">
      <c r="C67" s="88" t="s">
        <v>31</v>
      </c>
      <c r="D67" s="88"/>
      <c r="E67" s="88"/>
      <c r="F67" s="56">
        <v>20</v>
      </c>
    </row>
    <row r="68" spans="2:13" x14ac:dyDescent="0.25">
      <c r="C68" s="88" t="s">
        <v>32</v>
      </c>
      <c r="D68" s="88"/>
      <c r="E68" s="88"/>
      <c r="F68" s="57">
        <f>G66</f>
        <v>1878.9539227895391</v>
      </c>
    </row>
    <row r="69" spans="2:13" x14ac:dyDescent="0.25">
      <c r="C69" s="88" t="s">
        <v>94</v>
      </c>
      <c r="D69" s="88"/>
      <c r="E69" s="88"/>
      <c r="F69" s="56">
        <f>151.67*(G66-G65)/G61</f>
        <v>127.32347073474469</v>
      </c>
      <c r="G69" s="1" t="s">
        <v>104</v>
      </c>
      <c r="I69" s="1" t="s">
        <v>106</v>
      </c>
    </row>
    <row r="70" spans="2:13" x14ac:dyDescent="0.25">
      <c r="C70" s="88" t="s">
        <v>34</v>
      </c>
      <c r="D70" s="88"/>
      <c r="E70" s="88"/>
      <c r="F70" s="7" t="s">
        <v>101</v>
      </c>
      <c r="L70" s="1" t="s">
        <v>105</v>
      </c>
    </row>
    <row r="71" spans="2:13" ht="28.5" customHeight="1" x14ac:dyDescent="0.25">
      <c r="B71" s="71" t="s">
        <v>36</v>
      </c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</row>
    <row r="72" spans="2:13" s="4" customFormat="1" ht="54.75" customHeight="1" x14ac:dyDescent="0.2">
      <c r="B72" s="77" t="s">
        <v>15</v>
      </c>
      <c r="C72" s="77" t="s">
        <v>16</v>
      </c>
      <c r="D72" s="77" t="s">
        <v>17</v>
      </c>
      <c r="E72" s="3" t="s">
        <v>18</v>
      </c>
      <c r="F72" s="71" t="s">
        <v>19</v>
      </c>
      <c r="G72" s="71" t="s">
        <v>20</v>
      </c>
      <c r="H72" s="71" t="s">
        <v>87</v>
      </c>
      <c r="I72" s="71" t="s">
        <v>92</v>
      </c>
      <c r="J72" s="71"/>
      <c r="K72" s="71" t="s">
        <v>88</v>
      </c>
      <c r="L72" s="71" t="s">
        <v>93</v>
      </c>
      <c r="M72" s="71" t="s">
        <v>95</v>
      </c>
    </row>
    <row r="73" spans="2:13" ht="38.25" customHeight="1" x14ac:dyDescent="0.25">
      <c r="B73" s="72"/>
      <c r="C73" s="72"/>
      <c r="D73" s="72"/>
      <c r="E73" s="72" t="s">
        <v>86</v>
      </c>
      <c r="F73" s="71"/>
      <c r="G73" s="71"/>
      <c r="H73" s="71"/>
      <c r="I73" s="71"/>
      <c r="J73" s="71"/>
      <c r="K73" s="71"/>
      <c r="L73" s="71"/>
      <c r="M73" s="71"/>
    </row>
    <row r="74" spans="2:13" ht="31.5" customHeight="1" x14ac:dyDescent="0.25">
      <c r="B74" s="73"/>
      <c r="C74" s="73"/>
      <c r="D74" s="73"/>
      <c r="E74" s="73"/>
      <c r="F74" s="71"/>
      <c r="G74" s="71"/>
      <c r="H74" s="71"/>
      <c r="I74" s="71"/>
      <c r="J74" s="71"/>
      <c r="K74" s="71"/>
      <c r="L74" s="71"/>
      <c r="M74" s="71"/>
    </row>
    <row r="75" spans="2:13" x14ac:dyDescent="0.25">
      <c r="B75" s="84"/>
      <c r="C75" s="72"/>
      <c r="D75" s="72"/>
      <c r="E75" s="72"/>
      <c r="F75" s="78"/>
      <c r="G75" s="78"/>
      <c r="H75" s="78"/>
      <c r="I75" s="79"/>
      <c r="J75" s="80"/>
      <c r="K75" s="71"/>
      <c r="L75" s="83"/>
      <c r="M75" s="71"/>
    </row>
    <row r="76" spans="2:13" x14ac:dyDescent="0.25">
      <c r="B76" s="71"/>
      <c r="C76" s="73"/>
      <c r="D76" s="73"/>
      <c r="E76" s="73"/>
      <c r="F76" s="73"/>
      <c r="G76" s="73"/>
      <c r="H76" s="73"/>
      <c r="I76" s="81"/>
      <c r="J76" s="82"/>
      <c r="K76" s="71"/>
      <c r="L76" s="83"/>
      <c r="M76" s="71"/>
    </row>
    <row r="78" spans="2:13" x14ac:dyDescent="0.25">
      <c r="B78" s="58" t="s">
        <v>46</v>
      </c>
      <c r="D78" s="1" t="s">
        <v>108</v>
      </c>
    </row>
    <row r="80" spans="2:13" ht="15.75" x14ac:dyDescent="0.25">
      <c r="C80" s="85" t="s">
        <v>37</v>
      </c>
      <c r="D80" s="85"/>
      <c r="E80" s="20">
        <v>151.66999999999999</v>
      </c>
      <c r="F80" s="25">
        <f>G80/E80</f>
        <v>13.18652337311268</v>
      </c>
      <c r="G80" s="14">
        <v>2000</v>
      </c>
    </row>
    <row r="81" spans="2:13" ht="15.75" x14ac:dyDescent="0.25">
      <c r="C81" s="85" t="s">
        <v>39</v>
      </c>
      <c r="D81" s="85"/>
      <c r="E81" s="22"/>
      <c r="F81" s="25"/>
      <c r="G81" s="14">
        <f>-G80*10/22</f>
        <v>-909.09090909090912</v>
      </c>
      <c r="H81" s="1" t="s">
        <v>98</v>
      </c>
    </row>
    <row r="82" spans="2:13" ht="15.75" x14ac:dyDescent="0.25">
      <c r="C82" s="86" t="s">
        <v>40</v>
      </c>
      <c r="D82" s="86"/>
      <c r="E82" s="22"/>
      <c r="F82" s="25"/>
      <c r="G82" s="14">
        <f>0.9*G80*10/22</f>
        <v>818.18181818181813</v>
      </c>
      <c r="H82" s="1" t="s">
        <v>41</v>
      </c>
    </row>
    <row r="83" spans="2:13" ht="15.75" x14ac:dyDescent="0.25">
      <c r="C83" s="87" t="s">
        <v>42</v>
      </c>
      <c r="D83" s="87"/>
      <c r="E83" s="22"/>
      <c r="F83" s="25"/>
      <c r="G83" s="14">
        <f>-7*2000*3*0.5/91.25</f>
        <v>-230.13698630136986</v>
      </c>
      <c r="H83" s="1" t="s">
        <v>103</v>
      </c>
      <c r="J83" s="1" t="s">
        <v>102</v>
      </c>
    </row>
    <row r="84" spans="2:13" ht="15.75" x14ac:dyDescent="0.25">
      <c r="C84" s="55" t="s">
        <v>110</v>
      </c>
      <c r="D84" s="55"/>
      <c r="E84" s="22"/>
      <c r="F84" s="25"/>
      <c r="G84" s="14">
        <f>200*12/22</f>
        <v>109.09090909090909</v>
      </c>
    </row>
    <row r="85" spans="2:13" x14ac:dyDescent="0.25">
      <c r="C85" s="89" t="s">
        <v>44</v>
      </c>
      <c r="D85" s="89"/>
      <c r="E85" s="23"/>
      <c r="F85" s="24"/>
      <c r="G85" s="14">
        <f>SUM(G80:G84)</f>
        <v>1788.0448318804481</v>
      </c>
    </row>
    <row r="86" spans="2:13" x14ac:dyDescent="0.25">
      <c r="C86" s="88" t="s">
        <v>31</v>
      </c>
      <c r="D86" s="88"/>
      <c r="E86" s="88"/>
      <c r="F86" s="56">
        <v>60</v>
      </c>
    </row>
    <row r="87" spans="2:13" x14ac:dyDescent="0.25">
      <c r="C87" s="88" t="s">
        <v>32</v>
      </c>
      <c r="D87" s="88"/>
      <c r="E87" s="88"/>
      <c r="F87" s="57">
        <f>G85</f>
        <v>1788.0448318804481</v>
      </c>
    </row>
    <row r="88" spans="2:13" x14ac:dyDescent="0.25">
      <c r="C88" s="88" t="s">
        <v>94</v>
      </c>
      <c r="D88" s="88"/>
      <c r="E88" s="88"/>
      <c r="F88" s="56">
        <f>151.67*(G85)/(G80+200)</f>
        <v>123.2694362051398</v>
      </c>
      <c r="G88" s="1" t="s">
        <v>113</v>
      </c>
      <c r="I88" s="1" t="s">
        <v>112</v>
      </c>
    </row>
    <row r="89" spans="2:13" x14ac:dyDescent="0.25">
      <c r="C89" s="88" t="s">
        <v>34</v>
      </c>
      <c r="D89" s="88"/>
      <c r="E89" s="88"/>
      <c r="F89" s="7" t="s">
        <v>101</v>
      </c>
      <c r="L89" s="1" t="s">
        <v>111</v>
      </c>
    </row>
    <row r="90" spans="2:13" ht="28.5" customHeight="1" x14ac:dyDescent="0.25">
      <c r="B90" s="71" t="s">
        <v>115</v>
      </c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91" spans="2:13" s="4" customFormat="1" ht="54.75" customHeight="1" x14ac:dyDescent="0.2">
      <c r="B91" s="77" t="s">
        <v>15</v>
      </c>
      <c r="C91" s="77" t="s">
        <v>16</v>
      </c>
      <c r="D91" s="77" t="s">
        <v>17</v>
      </c>
      <c r="E91" s="3" t="s">
        <v>18</v>
      </c>
      <c r="F91" s="71" t="s">
        <v>19</v>
      </c>
      <c r="G91" s="71" t="s">
        <v>20</v>
      </c>
      <c r="H91" s="71" t="s">
        <v>87</v>
      </c>
      <c r="I91" s="71" t="s">
        <v>92</v>
      </c>
      <c r="J91" s="71"/>
      <c r="K91" s="71" t="s">
        <v>88</v>
      </c>
      <c r="L91" s="71" t="s">
        <v>93</v>
      </c>
      <c r="M91" s="71" t="s">
        <v>95</v>
      </c>
    </row>
    <row r="92" spans="2:13" ht="38.25" customHeight="1" x14ac:dyDescent="0.25">
      <c r="B92" s="72"/>
      <c r="C92" s="72"/>
      <c r="D92" s="72"/>
      <c r="E92" s="72" t="s">
        <v>86</v>
      </c>
      <c r="F92" s="71"/>
      <c r="G92" s="71"/>
      <c r="H92" s="71"/>
      <c r="I92" s="71"/>
      <c r="J92" s="71"/>
      <c r="K92" s="71"/>
      <c r="L92" s="71"/>
      <c r="M92" s="71"/>
    </row>
    <row r="93" spans="2:13" ht="31.5" customHeight="1" x14ac:dyDescent="0.25">
      <c r="B93" s="73"/>
      <c r="C93" s="73"/>
      <c r="D93" s="73"/>
      <c r="E93" s="73"/>
      <c r="F93" s="71"/>
      <c r="G93" s="71"/>
      <c r="H93" s="71"/>
      <c r="I93" s="71"/>
      <c r="J93" s="71"/>
      <c r="K93" s="71"/>
      <c r="L93" s="71"/>
      <c r="M93" s="71"/>
    </row>
    <row r="94" spans="2:13" x14ac:dyDescent="0.25">
      <c r="B94" s="84"/>
      <c r="C94" s="72"/>
      <c r="D94" s="72"/>
      <c r="E94" s="72"/>
      <c r="F94" s="78"/>
      <c r="G94" s="78"/>
      <c r="H94" s="78"/>
      <c r="I94" s="79"/>
      <c r="J94" s="80"/>
      <c r="K94" s="71"/>
      <c r="L94" s="83"/>
      <c r="M94" s="71"/>
    </row>
    <row r="95" spans="2:13" x14ac:dyDescent="0.25">
      <c r="B95" s="71"/>
      <c r="C95" s="73"/>
      <c r="D95" s="73"/>
      <c r="E95" s="73"/>
      <c r="F95" s="73"/>
      <c r="G95" s="73"/>
      <c r="H95" s="73"/>
      <c r="I95" s="81"/>
      <c r="J95" s="82"/>
      <c r="K95" s="71"/>
      <c r="L95" s="83"/>
      <c r="M95" s="71"/>
    </row>
    <row r="101" spans="2:13" x14ac:dyDescent="0.25">
      <c r="B101" s="58" t="s">
        <v>114</v>
      </c>
    </row>
    <row r="103" spans="2:13" ht="15.75" x14ac:dyDescent="0.25">
      <c r="C103" s="85" t="s">
        <v>37</v>
      </c>
      <c r="D103" s="85"/>
      <c r="E103" s="20">
        <v>90</v>
      </c>
      <c r="F103" s="25">
        <f>G103/E103</f>
        <v>15.555555555555555</v>
      </c>
      <c r="G103" s="14">
        <v>1400</v>
      </c>
    </row>
    <row r="104" spans="2:13" x14ac:dyDescent="0.25">
      <c r="C104" s="89" t="s">
        <v>44</v>
      </c>
      <c r="D104" s="89"/>
      <c r="E104" s="23"/>
      <c r="F104" s="24"/>
      <c r="G104" s="14">
        <f>SUM(G103:G103)</f>
        <v>1400</v>
      </c>
    </row>
    <row r="105" spans="2:13" x14ac:dyDescent="0.25">
      <c r="C105" s="88" t="s">
        <v>31</v>
      </c>
      <c r="D105" s="88"/>
      <c r="E105" s="88"/>
      <c r="F105" s="56">
        <v>40</v>
      </c>
    </row>
    <row r="106" spans="2:13" x14ac:dyDescent="0.25">
      <c r="C106" s="88" t="s">
        <v>32</v>
      </c>
      <c r="D106" s="88"/>
      <c r="E106" s="88"/>
      <c r="F106" s="57">
        <f>G104</f>
        <v>1400</v>
      </c>
    </row>
    <row r="107" spans="2:13" x14ac:dyDescent="0.25">
      <c r="C107" s="88" t="s">
        <v>94</v>
      </c>
      <c r="D107" s="88"/>
      <c r="E107" s="88"/>
      <c r="F107" s="59">
        <f>E103</f>
        <v>90</v>
      </c>
    </row>
    <row r="108" spans="2:13" x14ac:dyDescent="0.25">
      <c r="C108" s="88" t="s">
        <v>34</v>
      </c>
      <c r="D108" s="88"/>
      <c r="E108" s="88"/>
      <c r="F108" s="7" t="s">
        <v>101</v>
      </c>
    </row>
    <row r="109" spans="2:13" ht="28.5" customHeight="1" x14ac:dyDescent="0.25">
      <c r="B109" s="71" t="s">
        <v>36</v>
      </c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</row>
    <row r="110" spans="2:13" s="4" customFormat="1" ht="54.75" customHeight="1" x14ac:dyDescent="0.2">
      <c r="B110" s="77" t="s">
        <v>15</v>
      </c>
      <c r="C110" s="77" t="s">
        <v>16</v>
      </c>
      <c r="D110" s="77" t="s">
        <v>17</v>
      </c>
      <c r="E110" s="3" t="s">
        <v>18</v>
      </c>
      <c r="F110" s="71" t="s">
        <v>19</v>
      </c>
      <c r="G110" s="71" t="s">
        <v>20</v>
      </c>
      <c r="H110" s="71" t="s">
        <v>87</v>
      </c>
      <c r="I110" s="71" t="s">
        <v>92</v>
      </c>
      <c r="J110" s="71"/>
      <c r="K110" s="71" t="s">
        <v>88</v>
      </c>
      <c r="L110" s="71" t="s">
        <v>93</v>
      </c>
      <c r="M110" s="71" t="s">
        <v>95</v>
      </c>
    </row>
    <row r="111" spans="2:13" ht="38.25" customHeight="1" x14ac:dyDescent="0.25">
      <c r="B111" s="72"/>
      <c r="C111" s="72"/>
      <c r="D111" s="72"/>
      <c r="E111" s="72" t="s">
        <v>86</v>
      </c>
      <c r="F111" s="71"/>
      <c r="G111" s="71"/>
      <c r="H111" s="71"/>
      <c r="I111" s="71"/>
      <c r="J111" s="71"/>
      <c r="K111" s="71"/>
      <c r="L111" s="71"/>
      <c r="M111" s="71"/>
    </row>
    <row r="112" spans="2:13" ht="31.5" customHeight="1" x14ac:dyDescent="0.25">
      <c r="B112" s="73"/>
      <c r="C112" s="73"/>
      <c r="D112" s="73"/>
      <c r="E112" s="73"/>
      <c r="F112" s="71"/>
      <c r="G112" s="71"/>
      <c r="H112" s="71"/>
      <c r="I112" s="71"/>
      <c r="J112" s="71"/>
      <c r="K112" s="71"/>
      <c r="L112" s="71"/>
      <c r="M112" s="71"/>
    </row>
    <row r="113" spans="2:13" x14ac:dyDescent="0.25">
      <c r="B113" s="84"/>
      <c r="C113" s="72"/>
      <c r="D113" s="72"/>
      <c r="E113" s="72"/>
      <c r="F113" s="78"/>
      <c r="G113" s="78"/>
      <c r="H113" s="78"/>
      <c r="I113" s="79"/>
      <c r="J113" s="80"/>
      <c r="K113" s="71"/>
      <c r="L113" s="83"/>
      <c r="M113" s="71"/>
    </row>
    <row r="114" spans="2:13" x14ac:dyDescent="0.25">
      <c r="B114" s="71"/>
      <c r="C114" s="73"/>
      <c r="D114" s="73"/>
      <c r="E114" s="73"/>
      <c r="F114" s="73"/>
      <c r="G114" s="73"/>
      <c r="H114" s="73"/>
      <c r="I114" s="81"/>
      <c r="J114" s="82"/>
      <c r="K114" s="71"/>
      <c r="L114" s="83"/>
      <c r="M114" s="71"/>
    </row>
    <row r="116" spans="2:13" x14ac:dyDescent="0.25">
      <c r="C116" s="26"/>
      <c r="D116" s="26"/>
      <c r="E116" s="26"/>
      <c r="F116" s="26"/>
      <c r="G116" s="26"/>
      <c r="H116" s="26"/>
      <c r="I116" s="26"/>
      <c r="J116" s="26"/>
    </row>
    <row r="117" spans="2:13" x14ac:dyDescent="0.25">
      <c r="C117" s="13" t="s">
        <v>47</v>
      </c>
    </row>
    <row r="119" spans="2:13" x14ac:dyDescent="0.25">
      <c r="C119" s="1" t="s">
        <v>48</v>
      </c>
    </row>
    <row r="121" spans="2:13" x14ac:dyDescent="0.25">
      <c r="C121" s="88" t="s">
        <v>12</v>
      </c>
      <c r="D121" s="88"/>
      <c r="E121" s="88"/>
      <c r="F121" s="5">
        <v>10</v>
      </c>
    </row>
    <row r="122" spans="2:13" x14ac:dyDescent="0.25">
      <c r="C122" s="90" t="s">
        <v>32</v>
      </c>
      <c r="D122" s="90"/>
      <c r="E122" s="90"/>
      <c r="F122" s="12">
        <v>1500</v>
      </c>
      <c r="G122" s="5">
        <v>90</v>
      </c>
      <c r="H122" s="18">
        <f>F122/G122</f>
        <v>16.666666666666668</v>
      </c>
    </row>
    <row r="123" spans="2:13" x14ac:dyDescent="0.25">
      <c r="C123" s="88" t="s">
        <v>49</v>
      </c>
      <c r="D123" s="88"/>
      <c r="E123" s="88"/>
      <c r="F123" s="12">
        <f>G123*H123</f>
        <v>91.666666666666686</v>
      </c>
      <c r="G123" s="5">
        <v>5</v>
      </c>
      <c r="H123" s="18">
        <f>H122*1.1</f>
        <v>18.333333333333336</v>
      </c>
    </row>
    <row r="124" spans="2:13" x14ac:dyDescent="0.25">
      <c r="C124" s="88" t="s">
        <v>38</v>
      </c>
      <c r="D124" s="88"/>
      <c r="E124" s="88"/>
      <c r="F124" s="12">
        <f>SUM(F122:F123)</f>
        <v>1591.6666666666667</v>
      </c>
    </row>
    <row r="125" spans="2:13" x14ac:dyDescent="0.25">
      <c r="C125" s="88" t="s">
        <v>34</v>
      </c>
      <c r="D125" s="88"/>
      <c r="E125" s="88"/>
      <c r="F125" s="5" t="s">
        <v>35</v>
      </c>
    </row>
    <row r="127" spans="2:13" ht="28.5" customHeight="1" x14ac:dyDescent="0.25">
      <c r="B127" s="71" t="s">
        <v>36</v>
      </c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</row>
    <row r="128" spans="2:13" s="4" customFormat="1" ht="54.75" customHeight="1" x14ac:dyDescent="0.2">
      <c r="B128" s="77" t="s">
        <v>15</v>
      </c>
      <c r="C128" s="77" t="s">
        <v>16</v>
      </c>
      <c r="D128" s="77" t="s">
        <v>17</v>
      </c>
      <c r="E128" s="3" t="s">
        <v>18</v>
      </c>
      <c r="F128" s="71" t="s">
        <v>19</v>
      </c>
      <c r="G128" s="71" t="s">
        <v>20</v>
      </c>
      <c r="H128" s="71" t="s">
        <v>87</v>
      </c>
      <c r="I128" s="71" t="s">
        <v>92</v>
      </c>
      <c r="J128" s="71"/>
      <c r="K128" s="71" t="s">
        <v>88</v>
      </c>
      <c r="L128" s="71" t="s">
        <v>93</v>
      </c>
      <c r="M128" s="71" t="s">
        <v>95</v>
      </c>
    </row>
    <row r="129" spans="1:16" ht="38.25" customHeight="1" x14ac:dyDescent="0.25">
      <c r="B129" s="72"/>
      <c r="C129" s="72"/>
      <c r="D129" s="72"/>
      <c r="E129" s="72" t="s">
        <v>86</v>
      </c>
      <c r="F129" s="71"/>
      <c r="G129" s="71"/>
      <c r="H129" s="71"/>
      <c r="I129" s="71"/>
      <c r="J129" s="71"/>
      <c r="K129" s="71"/>
      <c r="L129" s="71"/>
      <c r="M129" s="71"/>
    </row>
    <row r="130" spans="1:16" ht="31.5" customHeight="1" x14ac:dyDescent="0.25">
      <c r="B130" s="73"/>
      <c r="C130" s="73"/>
      <c r="D130" s="73"/>
      <c r="E130" s="73"/>
      <c r="F130" s="71"/>
      <c r="G130" s="71"/>
      <c r="H130" s="71"/>
      <c r="I130" s="71"/>
      <c r="J130" s="71"/>
      <c r="K130" s="71"/>
      <c r="L130" s="71"/>
      <c r="M130" s="71"/>
    </row>
    <row r="131" spans="1:16" x14ac:dyDescent="0.25">
      <c r="B131" s="84"/>
      <c r="C131" s="72"/>
      <c r="D131" s="72"/>
      <c r="E131" s="72"/>
      <c r="F131" s="78"/>
      <c r="G131" s="78"/>
      <c r="H131" s="78"/>
      <c r="I131" s="79"/>
      <c r="J131" s="80"/>
      <c r="K131" s="71"/>
      <c r="L131" s="83"/>
      <c r="M131" s="71"/>
    </row>
    <row r="132" spans="1:16" x14ac:dyDescent="0.25">
      <c r="B132" s="71"/>
      <c r="C132" s="73"/>
      <c r="D132" s="73"/>
      <c r="E132" s="73"/>
      <c r="F132" s="73"/>
      <c r="G132" s="73"/>
      <c r="H132" s="73"/>
      <c r="I132" s="81"/>
      <c r="J132" s="82"/>
      <c r="K132" s="71"/>
      <c r="L132" s="83"/>
      <c r="M132" s="71"/>
    </row>
    <row r="134" spans="1:16" x14ac:dyDescent="0.25">
      <c r="A134" s="13" t="s">
        <v>50</v>
      </c>
    </row>
    <row r="136" spans="1:16" x14ac:dyDescent="0.25">
      <c r="A136" s="1" t="s">
        <v>51</v>
      </c>
      <c r="I136" s="2" t="s">
        <v>31</v>
      </c>
      <c r="J136" s="2">
        <v>55</v>
      </c>
    </row>
    <row r="137" spans="1:16" x14ac:dyDescent="0.25">
      <c r="B137" s="1" t="s">
        <v>63</v>
      </c>
    </row>
    <row r="139" spans="1:16" ht="46.5" customHeight="1" x14ac:dyDescent="0.25">
      <c r="A139" s="71" t="s">
        <v>52</v>
      </c>
      <c r="B139" s="71" t="s">
        <v>53</v>
      </c>
      <c r="C139" s="71" t="s">
        <v>54</v>
      </c>
      <c r="D139" s="71" t="s">
        <v>55</v>
      </c>
      <c r="E139" s="71" t="s">
        <v>56</v>
      </c>
      <c r="F139" s="77" t="s">
        <v>17</v>
      </c>
      <c r="G139" s="3" t="s">
        <v>18</v>
      </c>
      <c r="H139" s="77" t="s">
        <v>117</v>
      </c>
      <c r="I139" s="77" t="s">
        <v>20</v>
      </c>
      <c r="J139" s="71" t="s">
        <v>87</v>
      </c>
      <c r="K139" s="71" t="s">
        <v>92</v>
      </c>
      <c r="L139" s="71" t="s">
        <v>88</v>
      </c>
      <c r="M139" s="71"/>
      <c r="N139" s="91" t="s">
        <v>93</v>
      </c>
      <c r="O139" s="91" t="s">
        <v>118</v>
      </c>
      <c r="P139" s="91" t="s">
        <v>119</v>
      </c>
    </row>
    <row r="140" spans="1:16" ht="46.5" customHeight="1" x14ac:dyDescent="0.25">
      <c r="A140" s="71"/>
      <c r="B140" s="71"/>
      <c r="C140" s="71"/>
      <c r="D140" s="71"/>
      <c r="E140" s="71"/>
      <c r="F140" s="72"/>
      <c r="G140" s="77" t="s">
        <v>86</v>
      </c>
      <c r="H140" s="72"/>
      <c r="I140" s="72"/>
      <c r="J140" s="71"/>
      <c r="K140" s="71"/>
      <c r="L140" s="71"/>
      <c r="M140" s="71"/>
      <c r="N140" s="91"/>
      <c r="O140" s="91"/>
      <c r="P140" s="91"/>
    </row>
    <row r="141" spans="1:16" ht="46.5" customHeight="1" x14ac:dyDescent="0.25">
      <c r="A141" s="71"/>
      <c r="B141" s="71"/>
      <c r="C141" s="71"/>
      <c r="D141" s="71"/>
      <c r="E141" s="71"/>
      <c r="F141" s="73"/>
      <c r="G141" s="73"/>
      <c r="H141" s="73"/>
      <c r="I141" s="73"/>
      <c r="J141" s="71"/>
      <c r="K141" s="71"/>
      <c r="L141" s="71"/>
      <c r="M141" s="71"/>
      <c r="N141" s="91"/>
      <c r="O141" s="91"/>
      <c r="P141" s="91"/>
    </row>
    <row r="142" spans="1:16" ht="19.5" customHeight="1" x14ac:dyDescent="0.25">
      <c r="A142" s="5" t="s">
        <v>57</v>
      </c>
      <c r="B142" s="19">
        <v>151.66999999999999</v>
      </c>
      <c r="C142" s="19">
        <f>B142</f>
        <v>151.66999999999999</v>
      </c>
      <c r="D142" s="12">
        <v>1800</v>
      </c>
      <c r="E142" s="60">
        <f>+D142</f>
        <v>1800</v>
      </c>
      <c r="F142" s="5">
        <v>12.02</v>
      </c>
      <c r="G142" s="5"/>
      <c r="H142" s="60"/>
      <c r="I142" s="11"/>
      <c r="J142" s="11"/>
      <c r="K142" s="2"/>
      <c r="L142" s="88"/>
      <c r="M142" s="88"/>
      <c r="N142" s="61"/>
      <c r="O142" s="11"/>
      <c r="P142" s="11"/>
    </row>
    <row r="143" spans="1:16" ht="19.5" customHeight="1" x14ac:dyDescent="0.25">
      <c r="A143" s="5" t="s">
        <v>58</v>
      </c>
      <c r="B143" s="19">
        <v>94.7</v>
      </c>
      <c r="C143" s="19">
        <f>C142+B143</f>
        <v>246.37</v>
      </c>
      <c r="D143" s="12">
        <f>+D142*B143/B142</f>
        <v>1123.8873870903938</v>
      </c>
      <c r="E143" s="15">
        <f>D143+E142</f>
        <v>2923.8873870903935</v>
      </c>
      <c r="F143" s="5">
        <v>12.02</v>
      </c>
      <c r="G143" s="5"/>
      <c r="H143" s="60"/>
      <c r="I143" s="11"/>
      <c r="J143" s="11"/>
      <c r="K143" s="2"/>
      <c r="L143" s="88"/>
      <c r="M143" s="88"/>
      <c r="N143" s="61"/>
      <c r="O143" s="11"/>
      <c r="P143" s="11"/>
    </row>
    <row r="144" spans="1:16" ht="19.5" customHeight="1" x14ac:dyDescent="0.25">
      <c r="A144" s="5" t="s">
        <v>59</v>
      </c>
      <c r="B144" s="19">
        <v>96.3</v>
      </c>
      <c r="C144" s="19">
        <f t="shared" ref="C144:C145" si="0">C143+B144</f>
        <v>342.67</v>
      </c>
      <c r="D144" s="12">
        <v>2500</v>
      </c>
      <c r="E144" s="15">
        <f t="shared" ref="E144:E145" si="1">D144+E143</f>
        <v>5423.8873870903935</v>
      </c>
      <c r="F144" s="5">
        <v>12.02</v>
      </c>
      <c r="G144" s="5"/>
      <c r="H144" s="60"/>
      <c r="I144" s="11"/>
      <c r="J144" s="11"/>
      <c r="K144" s="2"/>
      <c r="L144" s="88"/>
      <c r="M144" s="88"/>
      <c r="N144" s="61"/>
      <c r="O144" s="11"/>
      <c r="P144" s="11"/>
    </row>
    <row r="145" spans="1:16" ht="19.5" customHeight="1" x14ac:dyDescent="0.25">
      <c r="A145" s="5" t="s">
        <v>60</v>
      </c>
      <c r="B145" s="19">
        <v>151.66999999999999</v>
      </c>
      <c r="C145" s="19">
        <f t="shared" si="0"/>
        <v>494.34000000000003</v>
      </c>
      <c r="D145" s="12">
        <v>3000</v>
      </c>
      <c r="E145" s="15">
        <f t="shared" si="1"/>
        <v>8423.8873870903935</v>
      </c>
      <c r="F145" s="5">
        <v>12.02</v>
      </c>
      <c r="G145" s="5"/>
      <c r="H145" s="60"/>
      <c r="I145" s="11"/>
      <c r="J145" s="11"/>
      <c r="K145" s="2"/>
      <c r="L145" s="88"/>
      <c r="M145" s="88"/>
      <c r="N145" s="61"/>
      <c r="O145" s="11"/>
      <c r="P145" s="11"/>
    </row>
    <row r="148" spans="1:16" x14ac:dyDescent="0.25">
      <c r="C148" s="13"/>
    </row>
    <row r="150" spans="1:16" x14ac:dyDescent="0.25">
      <c r="E150" s="62"/>
      <c r="F150" s="62"/>
      <c r="G150" s="62"/>
    </row>
    <row r="151" spans="1:16" x14ac:dyDescent="0.25">
      <c r="E151" s="62"/>
      <c r="F151" s="62"/>
      <c r="G151" s="62"/>
    </row>
    <row r="152" spans="1:16" x14ac:dyDescent="0.25">
      <c r="E152" s="62"/>
      <c r="F152" s="62"/>
      <c r="G152" s="62"/>
    </row>
  </sheetData>
  <mergeCells count="226">
    <mergeCell ref="N139:N141"/>
    <mergeCell ref="O139:O141"/>
    <mergeCell ref="P139:P141"/>
    <mergeCell ref="G140:G141"/>
    <mergeCell ref="L142:M142"/>
    <mergeCell ref="L143:M143"/>
    <mergeCell ref="F139:F141"/>
    <mergeCell ref="H139:H141"/>
    <mergeCell ref="I139:I141"/>
    <mergeCell ref="J139:J141"/>
    <mergeCell ref="K139:K141"/>
    <mergeCell ref="L139:M141"/>
    <mergeCell ref="L131:L132"/>
    <mergeCell ref="M131:M132"/>
    <mergeCell ref="A139:A141"/>
    <mergeCell ref="B139:B141"/>
    <mergeCell ref="C139:C141"/>
    <mergeCell ref="D139:D141"/>
    <mergeCell ref="E139:E141"/>
    <mergeCell ref="L144:M144"/>
    <mergeCell ref="L145:M145"/>
    <mergeCell ref="B131:B132"/>
    <mergeCell ref="C131:C132"/>
    <mergeCell ref="D131:D132"/>
    <mergeCell ref="E131:E132"/>
    <mergeCell ref="F131:F132"/>
    <mergeCell ref="G131:G132"/>
    <mergeCell ref="H131:H132"/>
    <mergeCell ref="I131:J132"/>
    <mergeCell ref="K131:K132"/>
    <mergeCell ref="C124:E124"/>
    <mergeCell ref="C125:E125"/>
    <mergeCell ref="B127:M127"/>
    <mergeCell ref="B128:B130"/>
    <mergeCell ref="C128:C130"/>
    <mergeCell ref="D128:D130"/>
    <mergeCell ref="F128:F130"/>
    <mergeCell ref="G128:G130"/>
    <mergeCell ref="H128:H130"/>
    <mergeCell ref="I128:J130"/>
    <mergeCell ref="K128:K130"/>
    <mergeCell ref="L128:L130"/>
    <mergeCell ref="M128:M130"/>
    <mergeCell ref="E129:E130"/>
    <mergeCell ref="K113:K114"/>
    <mergeCell ref="L113:L114"/>
    <mergeCell ref="M113:M114"/>
    <mergeCell ref="C121:E121"/>
    <mergeCell ref="C122:E122"/>
    <mergeCell ref="C123:E123"/>
    <mergeCell ref="M110:M112"/>
    <mergeCell ref="E111:E112"/>
    <mergeCell ref="B113:B114"/>
    <mergeCell ref="C113:C114"/>
    <mergeCell ref="D113:D114"/>
    <mergeCell ref="E113:E114"/>
    <mergeCell ref="F113:F114"/>
    <mergeCell ref="G113:G114"/>
    <mergeCell ref="H113:H114"/>
    <mergeCell ref="I113:J114"/>
    <mergeCell ref="B109:M109"/>
    <mergeCell ref="B110:B112"/>
    <mergeCell ref="C110:C112"/>
    <mergeCell ref="D110:D112"/>
    <mergeCell ref="F110:F112"/>
    <mergeCell ref="G110:G112"/>
    <mergeCell ref="H110:H112"/>
    <mergeCell ref="I110:J112"/>
    <mergeCell ref="K110:K112"/>
    <mergeCell ref="L110:L112"/>
    <mergeCell ref="C103:D103"/>
    <mergeCell ref="C104:D104"/>
    <mergeCell ref="C105:E105"/>
    <mergeCell ref="C106:E106"/>
    <mergeCell ref="C107:E107"/>
    <mergeCell ref="C108:E108"/>
    <mergeCell ref="G94:G95"/>
    <mergeCell ref="H94:H95"/>
    <mergeCell ref="I94:J95"/>
    <mergeCell ref="K94:K95"/>
    <mergeCell ref="L94:L95"/>
    <mergeCell ref="M94:M95"/>
    <mergeCell ref="I91:J93"/>
    <mergeCell ref="K91:K93"/>
    <mergeCell ref="L91:L93"/>
    <mergeCell ref="M91:M93"/>
    <mergeCell ref="E92:E93"/>
    <mergeCell ref="B94:B95"/>
    <mergeCell ref="C94:C95"/>
    <mergeCell ref="D94:D95"/>
    <mergeCell ref="E94:E95"/>
    <mergeCell ref="F94:F95"/>
    <mergeCell ref="C87:E87"/>
    <mergeCell ref="C88:E88"/>
    <mergeCell ref="C89:E89"/>
    <mergeCell ref="B90:M90"/>
    <mergeCell ref="B91:B93"/>
    <mergeCell ref="C91:C93"/>
    <mergeCell ref="D91:D93"/>
    <mergeCell ref="F91:F93"/>
    <mergeCell ref="G91:G93"/>
    <mergeCell ref="H91:H93"/>
    <mergeCell ref="C80:D80"/>
    <mergeCell ref="C81:D81"/>
    <mergeCell ref="C82:D82"/>
    <mergeCell ref="C83:D83"/>
    <mergeCell ref="C85:D85"/>
    <mergeCell ref="C86:E86"/>
    <mergeCell ref="G75:G76"/>
    <mergeCell ref="H75:H76"/>
    <mergeCell ref="I75:J76"/>
    <mergeCell ref="K75:K76"/>
    <mergeCell ref="L75:L76"/>
    <mergeCell ref="M75:M76"/>
    <mergeCell ref="I72:J74"/>
    <mergeCell ref="K72:K74"/>
    <mergeCell ref="L72:L74"/>
    <mergeCell ref="M72:M74"/>
    <mergeCell ref="E73:E74"/>
    <mergeCell ref="B75:B76"/>
    <mergeCell ref="C75:C76"/>
    <mergeCell ref="D75:D76"/>
    <mergeCell ref="E75:E76"/>
    <mergeCell ref="F75:F76"/>
    <mergeCell ref="C68:E68"/>
    <mergeCell ref="C69:E69"/>
    <mergeCell ref="C70:E70"/>
    <mergeCell ref="B71:M71"/>
    <mergeCell ref="B72:B74"/>
    <mergeCell ref="C72:C74"/>
    <mergeCell ref="D72:D74"/>
    <mergeCell ref="F72:F74"/>
    <mergeCell ref="G72:G74"/>
    <mergeCell ref="H72:H74"/>
    <mergeCell ref="C61:D61"/>
    <mergeCell ref="C62:D62"/>
    <mergeCell ref="C63:D63"/>
    <mergeCell ref="C64:D64"/>
    <mergeCell ref="C66:D66"/>
    <mergeCell ref="C67:E67"/>
    <mergeCell ref="G56:G57"/>
    <mergeCell ref="H56:H57"/>
    <mergeCell ref="I56:J57"/>
    <mergeCell ref="K56:K57"/>
    <mergeCell ref="L56:L57"/>
    <mergeCell ref="M56:M57"/>
    <mergeCell ref="I53:J55"/>
    <mergeCell ref="K53:K55"/>
    <mergeCell ref="L53:L55"/>
    <mergeCell ref="M53:M55"/>
    <mergeCell ref="E54:E55"/>
    <mergeCell ref="B56:B57"/>
    <mergeCell ref="C56:C57"/>
    <mergeCell ref="D56:D57"/>
    <mergeCell ref="E56:E57"/>
    <mergeCell ref="F56:F57"/>
    <mergeCell ref="C48:E48"/>
    <mergeCell ref="C49:E49"/>
    <mergeCell ref="C50:E50"/>
    <mergeCell ref="B52:M52"/>
    <mergeCell ref="B53:B55"/>
    <mergeCell ref="C53:C55"/>
    <mergeCell ref="D53:D55"/>
    <mergeCell ref="F53:F55"/>
    <mergeCell ref="G53:G55"/>
    <mergeCell ref="H53:H55"/>
    <mergeCell ref="C41:D41"/>
    <mergeCell ref="C42:D42"/>
    <mergeCell ref="C43:D43"/>
    <mergeCell ref="C44:D44"/>
    <mergeCell ref="C45:D45"/>
    <mergeCell ref="C47:E47"/>
    <mergeCell ref="G35:G36"/>
    <mergeCell ref="H35:H36"/>
    <mergeCell ref="I35:J36"/>
    <mergeCell ref="K35:K36"/>
    <mergeCell ref="L35:L36"/>
    <mergeCell ref="M35:M36"/>
    <mergeCell ref="I32:J34"/>
    <mergeCell ref="K32:K34"/>
    <mergeCell ref="L32:L34"/>
    <mergeCell ref="M32:M34"/>
    <mergeCell ref="E33:E34"/>
    <mergeCell ref="B35:B36"/>
    <mergeCell ref="C35:C36"/>
    <mergeCell ref="D35:D36"/>
    <mergeCell ref="E35:E36"/>
    <mergeCell ref="F35:F36"/>
    <mergeCell ref="C27:E27"/>
    <mergeCell ref="C28:E28"/>
    <mergeCell ref="C29:E29"/>
    <mergeCell ref="B31:M31"/>
    <mergeCell ref="B32:B34"/>
    <mergeCell ref="C32:C34"/>
    <mergeCell ref="D32:D34"/>
    <mergeCell ref="F32:F34"/>
    <mergeCell ref="G32:G34"/>
    <mergeCell ref="H32:H34"/>
    <mergeCell ref="H21:H22"/>
    <mergeCell ref="I21:J22"/>
    <mergeCell ref="K21:K22"/>
    <mergeCell ref="L21:L22"/>
    <mergeCell ref="M21:M22"/>
    <mergeCell ref="C26:E26"/>
    <mergeCell ref="B21:B22"/>
    <mergeCell ref="C21:C22"/>
    <mergeCell ref="D21:D22"/>
    <mergeCell ref="E21:E22"/>
    <mergeCell ref="F21:F22"/>
    <mergeCell ref="G21:G22"/>
    <mergeCell ref="H18:H20"/>
    <mergeCell ref="I18:J20"/>
    <mergeCell ref="K18:K20"/>
    <mergeCell ref="L18:L20"/>
    <mergeCell ref="M18:M20"/>
    <mergeCell ref="E19:E20"/>
    <mergeCell ref="C12:E12"/>
    <mergeCell ref="C13:E13"/>
    <mergeCell ref="C14:E14"/>
    <mergeCell ref="C15:E15"/>
    <mergeCell ref="B17:M17"/>
    <mergeCell ref="B18:B20"/>
    <mergeCell ref="C18:C20"/>
    <mergeCell ref="D18:D20"/>
    <mergeCell ref="F18:F20"/>
    <mergeCell ref="G18:G20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2"/>
  <sheetViews>
    <sheetView topLeftCell="C138" zoomScaleNormal="100" workbookViewId="0">
      <selection activeCell="N142" sqref="N142:N145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1"/>
    <col min="3" max="3" width="12.42578125" style="1" customWidth="1"/>
    <col min="4" max="4" width="13.42578125" style="1" customWidth="1"/>
    <col min="5" max="5" width="20.140625" style="1" customWidth="1"/>
    <col min="6" max="6" width="19.7109375" style="1" customWidth="1"/>
    <col min="7" max="7" width="14.42578125" style="1" customWidth="1"/>
    <col min="8" max="8" width="15.7109375" style="1" customWidth="1"/>
    <col min="9" max="9" width="12.140625" style="1" customWidth="1"/>
    <col min="10" max="10" width="9.5703125" style="1" customWidth="1"/>
    <col min="11" max="11" width="14.42578125" style="1" customWidth="1"/>
    <col min="12" max="12" width="11.42578125" style="1"/>
    <col min="13" max="13" width="13.85546875" style="1" customWidth="1"/>
    <col min="14" max="16384" width="11.42578125" style="1"/>
  </cols>
  <sheetData>
    <row r="1" spans="2:9" x14ac:dyDescent="0.25">
      <c r="B1" s="1" t="s">
        <v>90</v>
      </c>
      <c r="E1" s="1" t="s">
        <v>89</v>
      </c>
      <c r="F1" s="49">
        <v>0.02</v>
      </c>
    </row>
    <row r="2" spans="2:9" x14ac:dyDescent="0.25">
      <c r="F2" s="48"/>
    </row>
    <row r="3" spans="2:9" x14ac:dyDescent="0.25">
      <c r="B3" s="1" t="s">
        <v>25</v>
      </c>
    </row>
    <row r="4" spans="2:9" ht="13.9" x14ac:dyDescent="0.25">
      <c r="E4" s="1" t="s">
        <v>91</v>
      </c>
      <c r="F4" s="66">
        <f>'BOSS 2026'!D12</f>
        <v>0.37809999999999999</v>
      </c>
      <c r="G4" s="1" t="s">
        <v>26</v>
      </c>
    </row>
    <row r="6" spans="2:9" x14ac:dyDescent="0.25">
      <c r="B6" s="1" t="s">
        <v>27</v>
      </c>
      <c r="E6" s="1" t="s">
        <v>75</v>
      </c>
      <c r="F6" s="66">
        <f>'BOSS 2026'!D13</f>
        <v>0.3821</v>
      </c>
      <c r="G6" s="1" t="s">
        <v>26</v>
      </c>
    </row>
    <row r="8" spans="2:9" x14ac:dyDescent="0.25">
      <c r="E8" s="2" t="s">
        <v>29</v>
      </c>
      <c r="F8" s="5">
        <v>12.02</v>
      </c>
      <c r="G8" s="29">
        <v>46023</v>
      </c>
    </row>
    <row r="10" spans="2:9" ht="13.9" x14ac:dyDescent="0.25">
      <c r="B10" s="13" t="s">
        <v>30</v>
      </c>
    </row>
    <row r="12" spans="2:9" x14ac:dyDescent="0.25">
      <c r="C12" s="74" t="s">
        <v>31</v>
      </c>
      <c r="D12" s="74"/>
      <c r="E12" s="75"/>
      <c r="F12" s="8">
        <v>30</v>
      </c>
    </row>
    <row r="13" spans="2:9" x14ac:dyDescent="0.25">
      <c r="C13" s="74" t="s">
        <v>32</v>
      </c>
      <c r="D13" s="74"/>
      <c r="E13" s="75"/>
      <c r="F13" s="9">
        <v>2000</v>
      </c>
    </row>
    <row r="14" spans="2:9" x14ac:dyDescent="0.25">
      <c r="C14" s="74" t="s">
        <v>94</v>
      </c>
      <c r="D14" s="74"/>
      <c r="E14" s="75"/>
      <c r="F14" s="8">
        <f>35*52/12</f>
        <v>151.66666666666666</v>
      </c>
      <c r="G14" s="70" t="s">
        <v>133</v>
      </c>
      <c r="H14" s="70"/>
      <c r="I14" s="1" t="s">
        <v>134</v>
      </c>
    </row>
    <row r="15" spans="2:9" x14ac:dyDescent="0.25">
      <c r="C15" s="74" t="s">
        <v>34</v>
      </c>
      <c r="D15" s="74"/>
      <c r="E15" s="75"/>
      <c r="F15" s="5" t="s">
        <v>35</v>
      </c>
    </row>
    <row r="17" spans="2:13" ht="28.5" customHeight="1" x14ac:dyDescent="0.25">
      <c r="B17" s="76" t="s">
        <v>36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2:13" s="4" customFormat="1" ht="54.75" customHeight="1" x14ac:dyDescent="0.2">
      <c r="B18" s="77" t="s">
        <v>15</v>
      </c>
      <c r="C18" s="77" t="s">
        <v>16</v>
      </c>
      <c r="D18" s="77" t="s">
        <v>17</v>
      </c>
      <c r="E18" s="3" t="s">
        <v>18</v>
      </c>
      <c r="F18" s="71" t="s">
        <v>19</v>
      </c>
      <c r="G18" s="71" t="s">
        <v>20</v>
      </c>
      <c r="H18" s="71" t="s">
        <v>87</v>
      </c>
      <c r="I18" s="71" t="s">
        <v>123</v>
      </c>
      <c r="J18" s="71"/>
      <c r="K18" s="71" t="s">
        <v>124</v>
      </c>
      <c r="L18" s="71" t="s">
        <v>125</v>
      </c>
      <c r="M18" s="71" t="s">
        <v>95</v>
      </c>
    </row>
    <row r="19" spans="2:13" ht="38.25" customHeight="1" x14ac:dyDescent="0.25">
      <c r="B19" s="72"/>
      <c r="C19" s="72"/>
      <c r="D19" s="72"/>
      <c r="E19" s="72" t="s">
        <v>86</v>
      </c>
      <c r="F19" s="71"/>
      <c r="G19" s="71"/>
      <c r="H19" s="71"/>
      <c r="I19" s="71"/>
      <c r="J19" s="71"/>
      <c r="K19" s="71"/>
      <c r="L19" s="71"/>
      <c r="M19" s="71"/>
    </row>
    <row r="20" spans="2:13" ht="38.25" customHeight="1" x14ac:dyDescent="0.25">
      <c r="B20" s="73"/>
      <c r="C20" s="73"/>
      <c r="D20" s="73"/>
      <c r="E20" s="73"/>
      <c r="F20" s="71"/>
      <c r="G20" s="71"/>
      <c r="H20" s="71"/>
      <c r="I20" s="71"/>
      <c r="J20" s="71"/>
      <c r="K20" s="71"/>
      <c r="L20" s="71"/>
      <c r="M20" s="71"/>
    </row>
    <row r="21" spans="2:13" x14ac:dyDescent="0.25">
      <c r="B21" s="84">
        <f>F13</f>
        <v>2000</v>
      </c>
      <c r="C21" s="72">
        <f>F14</f>
        <v>151.66666666666666</v>
      </c>
      <c r="D21" s="72">
        <f>$F$8</f>
        <v>12.02</v>
      </c>
      <c r="E21" s="72">
        <f>3*C21*D21</f>
        <v>5469.0999999999995</v>
      </c>
      <c r="F21" s="95">
        <f>E21/B21</f>
        <v>2.7345499999999996</v>
      </c>
      <c r="G21" s="95">
        <f>IF((F21-1)&lt;0,0,F21-1)</f>
        <v>1.7345499999999996</v>
      </c>
      <c r="H21" s="95">
        <f>G21/2</f>
        <v>0.8672749999999998</v>
      </c>
      <c r="I21" s="94">
        <f>POWER(H21,1.75)</f>
        <v>0.77942520946437799</v>
      </c>
      <c r="J21" s="94"/>
      <c r="K21" s="71">
        <f>IF($F$12&lt;50,$F$4*I21,$F$6*I21)</f>
        <v>0.2947006716984813</v>
      </c>
      <c r="L21" s="83">
        <f>ROUND(IF(($F$1+K21)=0.02,0,($F$1+K21)*100/90),4)</f>
        <v>0.34970000000000001</v>
      </c>
      <c r="M21" s="93">
        <f>ROUND(B21*L21,2)</f>
        <v>699.4</v>
      </c>
    </row>
    <row r="22" spans="2:13" x14ac:dyDescent="0.25">
      <c r="B22" s="71"/>
      <c r="C22" s="73"/>
      <c r="D22" s="73"/>
      <c r="E22" s="73"/>
      <c r="F22" s="96"/>
      <c r="G22" s="96"/>
      <c r="H22" s="96"/>
      <c r="I22" s="94"/>
      <c r="J22" s="94"/>
      <c r="K22" s="71"/>
      <c r="L22" s="83"/>
      <c r="M22" s="93"/>
    </row>
    <row r="23" spans="2:13" x14ac:dyDescent="0.25">
      <c r="J23" s="97"/>
    </row>
    <row r="24" spans="2:13" x14ac:dyDescent="0.25">
      <c r="B24" s="13" t="s">
        <v>96</v>
      </c>
      <c r="J24" s="97"/>
    </row>
    <row r="25" spans="2:13" x14ac:dyDescent="0.25">
      <c r="J25" s="97"/>
    </row>
    <row r="26" spans="2:13" x14ac:dyDescent="0.25">
      <c r="C26" s="74" t="s">
        <v>31</v>
      </c>
      <c r="D26" s="74"/>
      <c r="E26" s="75"/>
      <c r="F26" s="50">
        <v>30</v>
      </c>
    </row>
    <row r="27" spans="2:13" x14ac:dyDescent="0.25">
      <c r="C27" s="74" t="s">
        <v>32</v>
      </c>
      <c r="D27" s="74"/>
      <c r="E27" s="75"/>
      <c r="F27" s="51">
        <v>2138.81</v>
      </c>
    </row>
    <row r="28" spans="2:13" x14ac:dyDescent="0.25">
      <c r="C28" s="74" t="s">
        <v>94</v>
      </c>
      <c r="D28" s="74"/>
      <c r="E28" s="75"/>
      <c r="F28" s="50">
        <v>169</v>
      </c>
    </row>
    <row r="29" spans="2:13" x14ac:dyDescent="0.25">
      <c r="C29" s="74" t="s">
        <v>34</v>
      </c>
      <c r="D29" s="74"/>
      <c r="E29" s="75"/>
      <c r="F29" s="5" t="s">
        <v>35</v>
      </c>
    </row>
    <row r="31" spans="2:13" ht="28.5" customHeight="1" x14ac:dyDescent="0.25">
      <c r="B31" s="71" t="s">
        <v>36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pans="2:13" s="4" customFormat="1" ht="54.75" customHeight="1" x14ac:dyDescent="0.2">
      <c r="B32" s="77" t="s">
        <v>15</v>
      </c>
      <c r="C32" s="77" t="s">
        <v>16</v>
      </c>
      <c r="D32" s="77" t="s">
        <v>17</v>
      </c>
      <c r="E32" s="3" t="s">
        <v>18</v>
      </c>
      <c r="F32" s="71" t="s">
        <v>19</v>
      </c>
      <c r="G32" s="71" t="s">
        <v>20</v>
      </c>
      <c r="H32" s="71" t="s">
        <v>87</v>
      </c>
      <c r="I32" s="71" t="s">
        <v>123</v>
      </c>
      <c r="J32" s="71"/>
      <c r="K32" s="71" t="s">
        <v>124</v>
      </c>
      <c r="L32" s="71" t="s">
        <v>125</v>
      </c>
      <c r="M32" s="71" t="s">
        <v>95</v>
      </c>
    </row>
    <row r="33" spans="2:13" ht="38.25" customHeight="1" x14ac:dyDescent="0.25">
      <c r="B33" s="72"/>
      <c r="C33" s="72"/>
      <c r="D33" s="72"/>
      <c r="E33" s="72" t="s">
        <v>86</v>
      </c>
      <c r="F33" s="71"/>
      <c r="G33" s="71"/>
      <c r="H33" s="71"/>
      <c r="I33" s="71"/>
      <c r="J33" s="71"/>
      <c r="K33" s="71"/>
      <c r="L33" s="71"/>
      <c r="M33" s="71"/>
    </row>
    <row r="34" spans="2:13" ht="38.25" customHeight="1" x14ac:dyDescent="0.25">
      <c r="B34" s="73"/>
      <c r="C34" s="73"/>
      <c r="D34" s="73"/>
      <c r="E34" s="73"/>
      <c r="F34" s="71"/>
      <c r="G34" s="71"/>
      <c r="H34" s="71"/>
      <c r="I34" s="71"/>
      <c r="J34" s="71"/>
      <c r="K34" s="71"/>
      <c r="L34" s="71"/>
      <c r="M34" s="71"/>
    </row>
    <row r="35" spans="2:13" x14ac:dyDescent="0.25">
      <c r="B35" s="84">
        <f>F27</f>
        <v>2138.81</v>
      </c>
      <c r="C35" s="72">
        <f>F28</f>
        <v>169</v>
      </c>
      <c r="D35" s="72">
        <f>$F$8</f>
        <v>12.02</v>
      </c>
      <c r="E35" s="72">
        <f>3*C35*D35</f>
        <v>6094.1399999999994</v>
      </c>
      <c r="F35" s="78">
        <f>E35/B35</f>
        <v>2.8493134032476002</v>
      </c>
      <c r="G35" s="78">
        <f>IF((F35-1)&lt;0,0,F35-1)</f>
        <v>1.8493134032476002</v>
      </c>
      <c r="H35" s="78">
        <f>G35/2</f>
        <v>0.92465670162380009</v>
      </c>
      <c r="I35" s="79">
        <f>POWER(H35,1.75)</f>
        <v>0.87189846459384324</v>
      </c>
      <c r="J35" s="80"/>
      <c r="K35" s="71">
        <f>IF(F26&lt;50,$F$4*I35,$F$6*I35)</f>
        <v>0.32966480946293214</v>
      </c>
      <c r="L35" s="83">
        <f>ROUND(IF(($F$1+K35)=0.02,0,($F$1+K35)*100/90),4)</f>
        <v>0.38850000000000001</v>
      </c>
      <c r="M35" s="71">
        <f>ROUND(B35*L35,2)</f>
        <v>830.93</v>
      </c>
    </row>
    <row r="36" spans="2:13" x14ac:dyDescent="0.25">
      <c r="B36" s="71"/>
      <c r="C36" s="73"/>
      <c r="D36" s="73"/>
      <c r="E36" s="73"/>
      <c r="F36" s="73"/>
      <c r="G36" s="73"/>
      <c r="H36" s="73"/>
      <c r="I36" s="81"/>
      <c r="J36" s="82"/>
      <c r="K36" s="71"/>
      <c r="L36" s="83"/>
      <c r="M36" s="71"/>
    </row>
    <row r="39" spans="2:13" x14ac:dyDescent="0.25">
      <c r="B39" s="13" t="s">
        <v>97</v>
      </c>
    </row>
    <row r="41" spans="2:13" ht="15.75" x14ac:dyDescent="0.25">
      <c r="C41" s="85" t="s">
        <v>37</v>
      </c>
      <c r="D41" s="85"/>
      <c r="E41" s="20">
        <v>151.66999999999999</v>
      </c>
      <c r="F41" s="21">
        <f>G41/E41</f>
        <v>12.527197204457046</v>
      </c>
      <c r="G41" s="27">
        <v>1900</v>
      </c>
    </row>
    <row r="42" spans="2:13" ht="15.75" x14ac:dyDescent="0.25">
      <c r="C42" s="85" t="s">
        <v>39</v>
      </c>
      <c r="D42" s="85"/>
      <c r="E42" s="22"/>
      <c r="F42" s="21"/>
      <c r="G42" s="27">
        <f>-1900*10/22</f>
        <v>-863.63636363636363</v>
      </c>
      <c r="H42" s="1" t="s">
        <v>98</v>
      </c>
    </row>
    <row r="43" spans="2:13" ht="15.75" x14ac:dyDescent="0.25">
      <c r="C43" s="86" t="s">
        <v>40</v>
      </c>
      <c r="D43" s="86"/>
      <c r="E43" s="22"/>
      <c r="F43" s="21"/>
      <c r="G43" s="27">
        <f>0.9*G41*10/22</f>
        <v>777.27272727272725</v>
      </c>
      <c r="H43" s="1" t="s">
        <v>41</v>
      </c>
    </row>
    <row r="44" spans="2:13" ht="15.75" x14ac:dyDescent="0.25">
      <c r="C44" s="87" t="s">
        <v>42</v>
      </c>
      <c r="D44" s="87"/>
      <c r="E44" s="22"/>
      <c r="F44" s="21"/>
      <c r="G44" s="28">
        <f>-7*1900*3*0.5/91.25</f>
        <v>-218.63013698630138</v>
      </c>
      <c r="H44" s="1" t="s">
        <v>43</v>
      </c>
      <c r="J44" s="1" t="s">
        <v>102</v>
      </c>
    </row>
    <row r="45" spans="2:13" ht="15.75" x14ac:dyDescent="0.25">
      <c r="C45" s="85" t="s">
        <v>44</v>
      </c>
      <c r="D45" s="85"/>
      <c r="E45" s="23"/>
      <c r="F45" s="24"/>
      <c r="G45" s="14">
        <f>SUM(G41:G44)</f>
        <v>1595.0062266500624</v>
      </c>
    </row>
    <row r="46" spans="2:13" x14ac:dyDescent="0.25">
      <c r="C46" s="10"/>
      <c r="D46" s="10"/>
      <c r="E46" s="6"/>
      <c r="F46" s="52"/>
      <c r="G46" s="17"/>
    </row>
    <row r="47" spans="2:13" x14ac:dyDescent="0.25">
      <c r="C47" s="88" t="s">
        <v>31</v>
      </c>
      <c r="D47" s="88"/>
      <c r="E47" s="88"/>
      <c r="F47" s="53">
        <v>60</v>
      </c>
    </row>
    <row r="48" spans="2:13" x14ac:dyDescent="0.25">
      <c r="C48" s="88" t="s">
        <v>32</v>
      </c>
      <c r="D48" s="88"/>
      <c r="E48" s="88"/>
      <c r="F48" s="54">
        <f>G45</f>
        <v>1595.0062266500624</v>
      </c>
    </row>
    <row r="49" spans="2:13" x14ac:dyDescent="0.25">
      <c r="C49" s="88" t="s">
        <v>94</v>
      </c>
      <c r="D49" s="88"/>
      <c r="E49" s="88"/>
      <c r="F49" s="53">
        <f>35*52/12*G45/G41</f>
        <v>127.32067247820673</v>
      </c>
      <c r="G49" s="1" t="s">
        <v>129</v>
      </c>
      <c r="I49" s="1" t="s">
        <v>100</v>
      </c>
    </row>
    <row r="50" spans="2:13" x14ac:dyDescent="0.25">
      <c r="C50" s="88" t="s">
        <v>34</v>
      </c>
      <c r="D50" s="88"/>
      <c r="E50" s="88"/>
      <c r="F50" s="7" t="s">
        <v>101</v>
      </c>
    </row>
    <row r="52" spans="2:13" ht="28.5" customHeight="1" x14ac:dyDescent="0.25">
      <c r="B52" s="71" t="s">
        <v>116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2:13" s="4" customFormat="1" ht="54.75" customHeight="1" x14ac:dyDescent="0.2">
      <c r="B53" s="77" t="s">
        <v>15</v>
      </c>
      <c r="C53" s="77" t="s">
        <v>16</v>
      </c>
      <c r="D53" s="77" t="s">
        <v>17</v>
      </c>
      <c r="E53" s="3" t="s">
        <v>18</v>
      </c>
      <c r="F53" s="71" t="s">
        <v>19</v>
      </c>
      <c r="G53" s="71" t="s">
        <v>20</v>
      </c>
      <c r="H53" s="71" t="s">
        <v>87</v>
      </c>
      <c r="I53" s="71" t="s">
        <v>123</v>
      </c>
      <c r="J53" s="71"/>
      <c r="K53" s="71" t="s">
        <v>124</v>
      </c>
      <c r="L53" s="71" t="s">
        <v>125</v>
      </c>
      <c r="M53" s="71" t="s">
        <v>95</v>
      </c>
    </row>
    <row r="54" spans="2:13" ht="38.25" customHeight="1" x14ac:dyDescent="0.25">
      <c r="B54" s="72"/>
      <c r="C54" s="72"/>
      <c r="D54" s="72"/>
      <c r="E54" s="72" t="s">
        <v>86</v>
      </c>
      <c r="F54" s="71"/>
      <c r="G54" s="71"/>
      <c r="H54" s="71"/>
      <c r="I54" s="71"/>
      <c r="J54" s="71"/>
      <c r="K54" s="71"/>
      <c r="L54" s="71"/>
      <c r="M54" s="71"/>
    </row>
    <row r="55" spans="2:13" ht="38.25" customHeight="1" x14ac:dyDescent="0.25">
      <c r="B55" s="73"/>
      <c r="C55" s="73"/>
      <c r="D55" s="73"/>
      <c r="E55" s="73"/>
      <c r="F55" s="71"/>
      <c r="G55" s="71"/>
      <c r="H55" s="71"/>
      <c r="I55" s="71"/>
      <c r="J55" s="71"/>
      <c r="K55" s="71"/>
      <c r="L55" s="71"/>
      <c r="M55" s="71"/>
    </row>
    <row r="56" spans="2:13" x14ac:dyDescent="0.25">
      <c r="B56" s="84">
        <f>F48</f>
        <v>1595.0062266500624</v>
      </c>
      <c r="C56" s="72">
        <f>F49</f>
        <v>127.32067247820673</v>
      </c>
      <c r="D56" s="72">
        <f>$F$8</f>
        <v>12.02</v>
      </c>
      <c r="E56" s="72">
        <f>3*C56*D56</f>
        <v>4591.1834495641342</v>
      </c>
      <c r="F56" s="78">
        <f>E56/B56</f>
        <v>2.8784736842105256</v>
      </c>
      <c r="G56" s="78">
        <f>IF((F56-1)&lt;0,0,F56-1)</f>
        <v>1.8784736842105256</v>
      </c>
      <c r="H56" s="78">
        <f>G56/2</f>
        <v>0.93923684210526281</v>
      </c>
      <c r="I56" s="79">
        <f>POWER(H56,1.75)</f>
        <v>0.89609996313010976</v>
      </c>
      <c r="J56" s="80"/>
      <c r="K56" s="71">
        <f>IF(F47&lt;50,$F$4*I56,$F$6*I56)</f>
        <v>0.34239979591201491</v>
      </c>
      <c r="L56" s="92">
        <f>ROUND(IF(($F$1+K56)=0.02,0,($F$1+K56)*100/90),4)</f>
        <v>0.4027</v>
      </c>
      <c r="M56" s="71">
        <f>ROUND(B56*L56,2)</f>
        <v>642.30999999999995</v>
      </c>
    </row>
    <row r="57" spans="2:13" x14ac:dyDescent="0.25">
      <c r="B57" s="71"/>
      <c r="C57" s="73"/>
      <c r="D57" s="73"/>
      <c r="E57" s="73"/>
      <c r="F57" s="73"/>
      <c r="G57" s="73"/>
      <c r="H57" s="73"/>
      <c r="I57" s="81"/>
      <c r="J57" s="82"/>
      <c r="K57" s="71"/>
      <c r="L57" s="92"/>
      <c r="M57" s="71"/>
    </row>
    <row r="59" spans="2:13" x14ac:dyDescent="0.25">
      <c r="B59" s="58" t="s">
        <v>107</v>
      </c>
      <c r="D59" s="1" t="s">
        <v>109</v>
      </c>
    </row>
    <row r="61" spans="2:13" ht="15.75" x14ac:dyDescent="0.25">
      <c r="C61" s="85" t="s">
        <v>37</v>
      </c>
      <c r="D61" s="85"/>
      <c r="E61" s="20">
        <v>151.66999999999999</v>
      </c>
      <c r="F61" s="25">
        <f>G61/E61</f>
        <v>13.18652337311268</v>
      </c>
      <c r="G61" s="14">
        <v>2000</v>
      </c>
    </row>
    <row r="62" spans="2:13" ht="15.75" x14ac:dyDescent="0.25">
      <c r="C62" s="85" t="s">
        <v>39</v>
      </c>
      <c r="D62" s="85"/>
      <c r="E62" s="22"/>
      <c r="F62" s="25"/>
      <c r="G62" s="14">
        <f>-G61*10/22</f>
        <v>-909.09090909090912</v>
      </c>
      <c r="H62" s="1" t="s">
        <v>98</v>
      </c>
    </row>
    <row r="63" spans="2:13" ht="15.75" x14ac:dyDescent="0.25">
      <c r="C63" s="86" t="s">
        <v>40</v>
      </c>
      <c r="D63" s="86"/>
      <c r="E63" s="22"/>
      <c r="F63" s="25"/>
      <c r="G63" s="14">
        <f>0.9*G61*10/22</f>
        <v>818.18181818181813</v>
      </c>
      <c r="H63" s="1" t="s">
        <v>41</v>
      </c>
    </row>
    <row r="64" spans="2:13" ht="15.75" x14ac:dyDescent="0.25">
      <c r="C64" s="87" t="s">
        <v>42</v>
      </c>
      <c r="D64" s="87"/>
      <c r="E64" s="22"/>
      <c r="F64" s="25"/>
      <c r="G64" s="14">
        <f>-7*2000*3*0.5/91.25</f>
        <v>-230.13698630136986</v>
      </c>
      <c r="H64" s="1" t="s">
        <v>103</v>
      </c>
      <c r="J64" s="1" t="s">
        <v>102</v>
      </c>
    </row>
    <row r="65" spans="2:13" ht="15.75" x14ac:dyDescent="0.25">
      <c r="C65" s="55" t="s">
        <v>45</v>
      </c>
      <c r="D65" s="55"/>
      <c r="E65" s="22"/>
      <c r="F65" s="25"/>
      <c r="G65" s="14">
        <v>200</v>
      </c>
    </row>
    <row r="66" spans="2:13" x14ac:dyDescent="0.25">
      <c r="C66" s="89" t="s">
        <v>44</v>
      </c>
      <c r="D66" s="89"/>
      <c r="E66" s="23"/>
      <c r="F66" s="24"/>
      <c r="G66" s="14">
        <f>SUM(G61:G65)</f>
        <v>1878.9539227895391</v>
      </c>
    </row>
    <row r="67" spans="2:13" x14ac:dyDescent="0.25">
      <c r="C67" s="88" t="s">
        <v>31</v>
      </c>
      <c r="D67" s="88"/>
      <c r="E67" s="88"/>
      <c r="F67" s="56">
        <v>20</v>
      </c>
    </row>
    <row r="68" spans="2:13" x14ac:dyDescent="0.25">
      <c r="C68" s="88" t="s">
        <v>32</v>
      </c>
      <c r="D68" s="88"/>
      <c r="E68" s="88"/>
      <c r="F68" s="57">
        <f>G66</f>
        <v>1878.9539227895391</v>
      </c>
    </row>
    <row r="69" spans="2:13" x14ac:dyDescent="0.25">
      <c r="C69" s="88" t="s">
        <v>94</v>
      </c>
      <c r="D69" s="88"/>
      <c r="E69" s="88"/>
      <c r="F69" s="56">
        <f>(35*52/12)*(G66-G65)/G61</f>
        <v>127.3206724782067</v>
      </c>
      <c r="G69" s="1" t="s">
        <v>130</v>
      </c>
      <c r="I69" s="1" t="s">
        <v>106</v>
      </c>
    </row>
    <row r="70" spans="2:13" x14ac:dyDescent="0.25">
      <c r="C70" s="88" t="s">
        <v>34</v>
      </c>
      <c r="D70" s="88"/>
      <c r="E70" s="88"/>
      <c r="F70" s="7" t="s">
        <v>101</v>
      </c>
      <c r="L70" s="1" t="s">
        <v>105</v>
      </c>
    </row>
    <row r="71" spans="2:13" ht="28.5" customHeight="1" x14ac:dyDescent="0.25">
      <c r="B71" s="71" t="s">
        <v>36</v>
      </c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</row>
    <row r="72" spans="2:13" s="4" customFormat="1" ht="54.75" customHeight="1" x14ac:dyDescent="0.2">
      <c r="B72" s="77" t="s">
        <v>15</v>
      </c>
      <c r="C72" s="77" t="s">
        <v>16</v>
      </c>
      <c r="D72" s="77" t="s">
        <v>17</v>
      </c>
      <c r="E72" s="3" t="s">
        <v>18</v>
      </c>
      <c r="F72" s="71" t="s">
        <v>19</v>
      </c>
      <c r="G72" s="71" t="s">
        <v>20</v>
      </c>
      <c r="H72" s="71" t="s">
        <v>87</v>
      </c>
      <c r="I72" s="71" t="s">
        <v>123</v>
      </c>
      <c r="J72" s="71"/>
      <c r="K72" s="71" t="s">
        <v>124</v>
      </c>
      <c r="L72" s="71" t="s">
        <v>125</v>
      </c>
      <c r="M72" s="71" t="s">
        <v>95</v>
      </c>
    </row>
    <row r="73" spans="2:13" ht="38.25" customHeight="1" x14ac:dyDescent="0.25">
      <c r="B73" s="72"/>
      <c r="C73" s="72"/>
      <c r="D73" s="72"/>
      <c r="E73" s="72" t="s">
        <v>86</v>
      </c>
      <c r="F73" s="71"/>
      <c r="G73" s="71"/>
      <c r="H73" s="71"/>
      <c r="I73" s="71"/>
      <c r="J73" s="71"/>
      <c r="K73" s="71"/>
      <c r="L73" s="71"/>
      <c r="M73" s="71"/>
    </row>
    <row r="74" spans="2:13" ht="31.5" customHeight="1" x14ac:dyDescent="0.25">
      <c r="B74" s="73"/>
      <c r="C74" s="73"/>
      <c r="D74" s="73"/>
      <c r="E74" s="73"/>
      <c r="F74" s="71"/>
      <c r="G74" s="71"/>
      <c r="H74" s="71"/>
      <c r="I74" s="71"/>
      <c r="J74" s="71"/>
      <c r="K74" s="71"/>
      <c r="L74" s="71"/>
      <c r="M74" s="71"/>
    </row>
    <row r="75" spans="2:13" x14ac:dyDescent="0.25">
      <c r="B75" s="84">
        <f>F68</f>
        <v>1878.9539227895391</v>
      </c>
      <c r="C75" s="72">
        <f>F69</f>
        <v>127.3206724782067</v>
      </c>
      <c r="D75" s="72">
        <f>$F$8</f>
        <v>12.02</v>
      </c>
      <c r="E75" s="72">
        <f>3*C75*D75</f>
        <v>4591.1834495641333</v>
      </c>
      <c r="F75" s="78">
        <f>E75/B75</f>
        <v>2.4434784663308586</v>
      </c>
      <c r="G75" s="78">
        <f>IF((F75-1)&lt;0,0,F75-1)</f>
        <v>1.4434784663308586</v>
      </c>
      <c r="H75" s="78">
        <f>G75/2</f>
        <v>0.72173923316542932</v>
      </c>
      <c r="I75" s="79">
        <f>POWER(H75,1.75)</f>
        <v>0.56515236484382092</v>
      </c>
      <c r="J75" s="80"/>
      <c r="K75" s="71">
        <f>IF(F67&lt;50,$F$4*I75,$F$6*I75)</f>
        <v>0.21368410914744868</v>
      </c>
      <c r="L75" s="92">
        <f>ROUND(IF(($F$1+K75)=0.02,0,($F$1+K75)*100/90),4)</f>
        <v>0.2596</v>
      </c>
      <c r="M75" s="71">
        <f>ROUND(B75*L75,2)</f>
        <v>487.78</v>
      </c>
    </row>
    <row r="76" spans="2:13" x14ac:dyDescent="0.25">
      <c r="B76" s="71"/>
      <c r="C76" s="73"/>
      <c r="D76" s="73"/>
      <c r="E76" s="73"/>
      <c r="F76" s="73"/>
      <c r="G76" s="73"/>
      <c r="H76" s="73"/>
      <c r="I76" s="81"/>
      <c r="J76" s="82"/>
      <c r="K76" s="71"/>
      <c r="L76" s="92"/>
      <c r="M76" s="71"/>
    </row>
    <row r="78" spans="2:13" x14ac:dyDescent="0.25">
      <c r="B78" s="58" t="s">
        <v>46</v>
      </c>
      <c r="D78" s="1" t="s">
        <v>108</v>
      </c>
    </row>
    <row r="80" spans="2:13" ht="15.75" x14ac:dyDescent="0.25">
      <c r="C80" s="85" t="s">
        <v>37</v>
      </c>
      <c r="D80" s="85"/>
      <c r="E80" s="20">
        <v>151.66999999999999</v>
      </c>
      <c r="F80" s="25">
        <f>G80/E80</f>
        <v>13.18652337311268</v>
      </c>
      <c r="G80" s="14">
        <v>2000</v>
      </c>
    </row>
    <row r="81" spans="2:13" ht="15.75" x14ac:dyDescent="0.25">
      <c r="C81" s="85" t="s">
        <v>39</v>
      </c>
      <c r="D81" s="85"/>
      <c r="E81" s="22"/>
      <c r="F81" s="25"/>
      <c r="G81" s="14">
        <f>-G80*10/22</f>
        <v>-909.09090909090912</v>
      </c>
      <c r="H81" s="1" t="s">
        <v>98</v>
      </c>
    </row>
    <row r="82" spans="2:13" ht="15.75" x14ac:dyDescent="0.25">
      <c r="C82" s="86" t="s">
        <v>40</v>
      </c>
      <c r="D82" s="86"/>
      <c r="E82" s="22"/>
      <c r="F82" s="25"/>
      <c r="G82" s="14">
        <f>0.9*G80*10/22</f>
        <v>818.18181818181813</v>
      </c>
      <c r="H82" s="1" t="s">
        <v>41</v>
      </c>
    </row>
    <row r="83" spans="2:13" ht="15.75" x14ac:dyDescent="0.25">
      <c r="C83" s="87" t="s">
        <v>42</v>
      </c>
      <c r="D83" s="87"/>
      <c r="E83" s="22"/>
      <c r="F83" s="25"/>
      <c r="G83" s="14">
        <f>-7*2000*3*0.5/91.25</f>
        <v>-230.13698630136986</v>
      </c>
      <c r="H83" s="1" t="s">
        <v>103</v>
      </c>
      <c r="J83" s="1" t="s">
        <v>102</v>
      </c>
    </row>
    <row r="84" spans="2:13" ht="15.75" x14ac:dyDescent="0.25">
      <c r="C84" s="55" t="s">
        <v>110</v>
      </c>
      <c r="D84" s="55"/>
      <c r="E84" s="22"/>
      <c r="F84" s="25"/>
      <c r="G84" s="14">
        <f>200*12/22</f>
        <v>109.09090909090909</v>
      </c>
    </row>
    <row r="85" spans="2:13" x14ac:dyDescent="0.25">
      <c r="C85" s="89" t="s">
        <v>44</v>
      </c>
      <c r="D85" s="89"/>
      <c r="E85" s="23"/>
      <c r="F85" s="24"/>
      <c r="G85" s="14">
        <f>SUM(G80:G84)</f>
        <v>1788.0448318804481</v>
      </c>
    </row>
    <row r="86" spans="2:13" x14ac:dyDescent="0.25">
      <c r="C86" s="88" t="s">
        <v>31</v>
      </c>
      <c r="D86" s="88"/>
      <c r="E86" s="88"/>
      <c r="F86" s="56">
        <v>60</v>
      </c>
    </row>
    <row r="87" spans="2:13" x14ac:dyDescent="0.25">
      <c r="C87" s="88" t="s">
        <v>32</v>
      </c>
      <c r="D87" s="88"/>
      <c r="E87" s="88"/>
      <c r="F87" s="57">
        <f>G85</f>
        <v>1788.0448318804481</v>
      </c>
    </row>
    <row r="88" spans="2:13" x14ac:dyDescent="0.25">
      <c r="C88" s="88" t="s">
        <v>94</v>
      </c>
      <c r="D88" s="88"/>
      <c r="E88" s="88"/>
      <c r="F88" s="56">
        <f>(35*52/12)*(G85)/(G80+200)</f>
        <v>123.26672704630361</v>
      </c>
      <c r="G88" s="1" t="s">
        <v>131</v>
      </c>
      <c r="I88" s="1" t="s">
        <v>112</v>
      </c>
    </row>
    <row r="89" spans="2:13" x14ac:dyDescent="0.25">
      <c r="C89" s="88" t="s">
        <v>34</v>
      </c>
      <c r="D89" s="88"/>
      <c r="E89" s="88"/>
      <c r="F89" s="7" t="s">
        <v>101</v>
      </c>
      <c r="L89" s="1" t="s">
        <v>111</v>
      </c>
    </row>
    <row r="90" spans="2:13" ht="28.5" customHeight="1" x14ac:dyDescent="0.25">
      <c r="B90" s="71" t="s">
        <v>115</v>
      </c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91" spans="2:13" s="4" customFormat="1" ht="54.75" customHeight="1" x14ac:dyDescent="0.2">
      <c r="B91" s="77" t="s">
        <v>15</v>
      </c>
      <c r="C91" s="77" t="s">
        <v>16</v>
      </c>
      <c r="D91" s="77" t="s">
        <v>17</v>
      </c>
      <c r="E91" s="3" t="s">
        <v>18</v>
      </c>
      <c r="F91" s="71" t="s">
        <v>19</v>
      </c>
      <c r="G91" s="71" t="s">
        <v>20</v>
      </c>
      <c r="H91" s="71" t="s">
        <v>87</v>
      </c>
      <c r="I91" s="71" t="s">
        <v>123</v>
      </c>
      <c r="J91" s="71"/>
      <c r="K91" s="71" t="s">
        <v>124</v>
      </c>
      <c r="L91" s="71" t="s">
        <v>125</v>
      </c>
      <c r="M91" s="71" t="s">
        <v>95</v>
      </c>
    </row>
    <row r="92" spans="2:13" ht="38.25" customHeight="1" x14ac:dyDescent="0.25">
      <c r="B92" s="72"/>
      <c r="C92" s="72"/>
      <c r="D92" s="72"/>
      <c r="E92" s="72" t="s">
        <v>86</v>
      </c>
      <c r="F92" s="71"/>
      <c r="G92" s="71"/>
      <c r="H92" s="71"/>
      <c r="I92" s="71"/>
      <c r="J92" s="71"/>
      <c r="K92" s="71"/>
      <c r="L92" s="71"/>
      <c r="M92" s="71"/>
    </row>
    <row r="93" spans="2:13" ht="31.5" customHeight="1" x14ac:dyDescent="0.25">
      <c r="B93" s="73"/>
      <c r="C93" s="73"/>
      <c r="D93" s="73"/>
      <c r="E93" s="73"/>
      <c r="F93" s="71"/>
      <c r="G93" s="71"/>
      <c r="H93" s="71"/>
      <c r="I93" s="71"/>
      <c r="J93" s="71"/>
      <c r="K93" s="71"/>
      <c r="L93" s="71"/>
      <c r="M93" s="71"/>
    </row>
    <row r="94" spans="2:13" x14ac:dyDescent="0.25">
      <c r="B94" s="84">
        <f>F87</f>
        <v>1788.0448318804481</v>
      </c>
      <c r="C94" s="72">
        <f>F88</f>
        <v>123.26672704630361</v>
      </c>
      <c r="D94" s="72">
        <f>$F$8</f>
        <v>12.02</v>
      </c>
      <c r="E94" s="72">
        <f>3*C94*D94</f>
        <v>4444.9981772897081</v>
      </c>
      <c r="F94" s="78">
        <f>E94/B94</f>
        <v>2.4859545454545451</v>
      </c>
      <c r="G94" s="78">
        <f>IF((F94-1)&lt;0,0,F94-1)</f>
        <v>1.4859545454545451</v>
      </c>
      <c r="H94" s="78">
        <f>G94/2</f>
        <v>0.74297727272727254</v>
      </c>
      <c r="I94" s="79">
        <f>POWER(H94,1.75)</f>
        <v>0.59457572756844801</v>
      </c>
      <c r="J94" s="80"/>
      <c r="K94" s="71">
        <f>IF(F86&lt;50,$F$4*I94,$F$6*I94)</f>
        <v>0.22718738550390399</v>
      </c>
      <c r="L94" s="92">
        <f>ROUND(IF(($F$1+K94)=0.02,0,($F$1+K94)*100/90),4)</f>
        <v>0.2747</v>
      </c>
      <c r="M94" s="71">
        <f>ROUND(B94*L94,2)</f>
        <v>491.18</v>
      </c>
    </row>
    <row r="95" spans="2:13" x14ac:dyDescent="0.25">
      <c r="B95" s="71"/>
      <c r="C95" s="73"/>
      <c r="D95" s="73"/>
      <c r="E95" s="73"/>
      <c r="F95" s="73"/>
      <c r="G95" s="73"/>
      <c r="H95" s="73"/>
      <c r="I95" s="81"/>
      <c r="J95" s="82"/>
      <c r="K95" s="71"/>
      <c r="L95" s="92"/>
      <c r="M95" s="71"/>
    </row>
    <row r="101" spans="2:13" x14ac:dyDescent="0.25">
      <c r="B101" s="58" t="s">
        <v>114</v>
      </c>
    </row>
    <row r="103" spans="2:13" ht="15.75" x14ac:dyDescent="0.25">
      <c r="C103" s="85" t="s">
        <v>37</v>
      </c>
      <c r="D103" s="85"/>
      <c r="E103" s="20">
        <v>90</v>
      </c>
      <c r="F103" s="25">
        <f>G103/E103</f>
        <v>15.555555555555555</v>
      </c>
      <c r="G103" s="14">
        <v>1400</v>
      </c>
    </row>
    <row r="104" spans="2:13" x14ac:dyDescent="0.25">
      <c r="C104" s="89" t="s">
        <v>44</v>
      </c>
      <c r="D104" s="89"/>
      <c r="E104" s="23"/>
      <c r="F104" s="24"/>
      <c r="G104" s="14">
        <f>SUM(G103:G103)</f>
        <v>1400</v>
      </c>
    </row>
    <row r="105" spans="2:13" x14ac:dyDescent="0.25">
      <c r="C105" s="88" t="s">
        <v>31</v>
      </c>
      <c r="D105" s="88"/>
      <c r="E105" s="88"/>
      <c r="F105" s="56">
        <v>40</v>
      </c>
    </row>
    <row r="106" spans="2:13" x14ac:dyDescent="0.25">
      <c r="C106" s="88" t="s">
        <v>32</v>
      </c>
      <c r="D106" s="88"/>
      <c r="E106" s="88"/>
      <c r="F106" s="57">
        <f>G104</f>
        <v>1400</v>
      </c>
    </row>
    <row r="107" spans="2:13" x14ac:dyDescent="0.25">
      <c r="C107" s="88" t="s">
        <v>94</v>
      </c>
      <c r="D107" s="88"/>
      <c r="E107" s="88"/>
      <c r="F107" s="59">
        <f>E103</f>
        <v>90</v>
      </c>
    </row>
    <row r="108" spans="2:13" x14ac:dyDescent="0.25">
      <c r="C108" s="88" t="s">
        <v>34</v>
      </c>
      <c r="D108" s="88"/>
      <c r="E108" s="88"/>
      <c r="F108" s="7" t="s">
        <v>101</v>
      </c>
    </row>
    <row r="109" spans="2:13" ht="28.5" customHeight="1" x14ac:dyDescent="0.25">
      <c r="B109" s="71" t="s">
        <v>36</v>
      </c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</row>
    <row r="110" spans="2:13" s="4" customFormat="1" ht="54.75" customHeight="1" x14ac:dyDescent="0.2">
      <c r="B110" s="77" t="s">
        <v>15</v>
      </c>
      <c r="C110" s="77" t="s">
        <v>16</v>
      </c>
      <c r="D110" s="77" t="s">
        <v>17</v>
      </c>
      <c r="E110" s="3" t="s">
        <v>18</v>
      </c>
      <c r="F110" s="71" t="s">
        <v>19</v>
      </c>
      <c r="G110" s="71" t="s">
        <v>20</v>
      </c>
      <c r="H110" s="71" t="s">
        <v>87</v>
      </c>
      <c r="I110" s="71" t="s">
        <v>123</v>
      </c>
      <c r="J110" s="71"/>
      <c r="K110" s="71" t="s">
        <v>124</v>
      </c>
      <c r="L110" s="71" t="s">
        <v>125</v>
      </c>
      <c r="M110" s="71" t="s">
        <v>95</v>
      </c>
    </row>
    <row r="111" spans="2:13" ht="38.25" customHeight="1" x14ac:dyDescent="0.25">
      <c r="B111" s="72"/>
      <c r="C111" s="72"/>
      <c r="D111" s="72"/>
      <c r="E111" s="72" t="s">
        <v>86</v>
      </c>
      <c r="F111" s="71"/>
      <c r="G111" s="71"/>
      <c r="H111" s="71"/>
      <c r="I111" s="71"/>
      <c r="J111" s="71"/>
      <c r="K111" s="71"/>
      <c r="L111" s="71"/>
      <c r="M111" s="71"/>
    </row>
    <row r="112" spans="2:13" ht="31.5" customHeight="1" x14ac:dyDescent="0.25">
      <c r="B112" s="73"/>
      <c r="C112" s="73"/>
      <c r="D112" s="73"/>
      <c r="E112" s="73"/>
      <c r="F112" s="71"/>
      <c r="G112" s="71"/>
      <c r="H112" s="71"/>
      <c r="I112" s="71"/>
      <c r="J112" s="71"/>
      <c r="K112" s="71"/>
      <c r="L112" s="71"/>
      <c r="M112" s="71"/>
    </row>
    <row r="113" spans="2:13" x14ac:dyDescent="0.25">
      <c r="B113" s="84">
        <f>F106</f>
        <v>1400</v>
      </c>
      <c r="C113" s="72">
        <f>F107</f>
        <v>90</v>
      </c>
      <c r="D113" s="72">
        <f>$F$8</f>
        <v>12.02</v>
      </c>
      <c r="E113" s="72">
        <f>3*C113*D113</f>
        <v>3245.4</v>
      </c>
      <c r="F113" s="78">
        <f>E113/B113</f>
        <v>2.3181428571428571</v>
      </c>
      <c r="G113" s="78">
        <f>IF((F113-1)&lt;0,0,F113-1)</f>
        <v>1.3181428571428571</v>
      </c>
      <c r="H113" s="78">
        <f>G113/2</f>
        <v>0.65907142857142853</v>
      </c>
      <c r="I113" s="79">
        <f>POWER(H113,1.75)</f>
        <v>0.482094135668865</v>
      </c>
      <c r="J113" s="80"/>
      <c r="K113" s="71">
        <f>IF(F105&lt;50,$F$4*I113,$F$6*I113)</f>
        <v>0.18227979269639785</v>
      </c>
      <c r="L113" s="83">
        <f>ROUND(IF(($F$1+K113)=0.02,0,($F$1+K113)=100/90),4)</f>
        <v>0</v>
      </c>
      <c r="M113" s="71">
        <f>ROUND(B113*L113,2)</f>
        <v>0</v>
      </c>
    </row>
    <row r="114" spans="2:13" x14ac:dyDescent="0.25">
      <c r="B114" s="71"/>
      <c r="C114" s="73"/>
      <c r="D114" s="73"/>
      <c r="E114" s="73"/>
      <c r="F114" s="73"/>
      <c r="G114" s="73"/>
      <c r="H114" s="73"/>
      <c r="I114" s="81"/>
      <c r="J114" s="82"/>
      <c r="K114" s="71"/>
      <c r="L114" s="83"/>
      <c r="M114" s="71"/>
    </row>
    <row r="116" spans="2:13" x14ac:dyDescent="0.25">
      <c r="C116" s="26"/>
      <c r="D116" s="26"/>
      <c r="E116" s="26"/>
      <c r="F116" s="26"/>
      <c r="G116" s="26"/>
      <c r="H116" s="26"/>
      <c r="I116" s="26"/>
      <c r="J116" s="26"/>
    </row>
    <row r="117" spans="2:13" x14ac:dyDescent="0.25">
      <c r="C117" s="13" t="s">
        <v>47</v>
      </c>
    </row>
    <row r="119" spans="2:13" x14ac:dyDescent="0.25">
      <c r="C119" s="1" t="s">
        <v>48</v>
      </c>
    </row>
    <row r="121" spans="2:13" x14ac:dyDescent="0.25">
      <c r="C121" s="88" t="s">
        <v>12</v>
      </c>
      <c r="D121" s="88"/>
      <c r="E121" s="88"/>
      <c r="F121" s="5">
        <v>10</v>
      </c>
    </row>
    <row r="122" spans="2:13" x14ac:dyDescent="0.25">
      <c r="C122" s="90" t="s">
        <v>32</v>
      </c>
      <c r="D122" s="90"/>
      <c r="E122" s="90"/>
      <c r="F122" s="12">
        <v>1500</v>
      </c>
      <c r="G122" s="5">
        <v>90</v>
      </c>
      <c r="H122" s="18">
        <f>F122/G122</f>
        <v>16.666666666666668</v>
      </c>
    </row>
    <row r="123" spans="2:13" x14ac:dyDescent="0.25">
      <c r="C123" s="88" t="s">
        <v>49</v>
      </c>
      <c r="D123" s="88"/>
      <c r="E123" s="88"/>
      <c r="F123" s="12">
        <f>G123*H123</f>
        <v>91.666666666666686</v>
      </c>
      <c r="G123" s="5">
        <v>5</v>
      </c>
      <c r="H123" s="18">
        <f>H122*1.1</f>
        <v>18.333333333333336</v>
      </c>
    </row>
    <row r="124" spans="2:13" x14ac:dyDescent="0.25">
      <c r="C124" s="88" t="s">
        <v>38</v>
      </c>
      <c r="D124" s="88"/>
      <c r="E124" s="88"/>
      <c r="F124" s="12">
        <f>SUM(F122:F123)</f>
        <v>1591.6666666666667</v>
      </c>
    </row>
    <row r="125" spans="2:13" x14ac:dyDescent="0.25">
      <c r="C125" s="88" t="s">
        <v>34</v>
      </c>
      <c r="D125" s="88"/>
      <c r="E125" s="88"/>
      <c r="F125" s="5" t="s">
        <v>35</v>
      </c>
    </row>
    <row r="126" spans="2:13" x14ac:dyDescent="0.25">
      <c r="C126" s="88" t="s">
        <v>132</v>
      </c>
      <c r="D126" s="88"/>
      <c r="E126" s="88"/>
      <c r="F126" s="5">
        <v>95</v>
      </c>
    </row>
    <row r="127" spans="2:13" ht="28.5" customHeight="1" x14ac:dyDescent="0.25">
      <c r="B127" s="71" t="s">
        <v>36</v>
      </c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</row>
    <row r="128" spans="2:13" s="4" customFormat="1" ht="54.75" customHeight="1" x14ac:dyDescent="0.2">
      <c r="B128" s="77" t="s">
        <v>15</v>
      </c>
      <c r="C128" s="77" t="s">
        <v>16</v>
      </c>
      <c r="D128" s="77" t="s">
        <v>17</v>
      </c>
      <c r="E128" s="3" t="s">
        <v>18</v>
      </c>
      <c r="F128" s="71" t="s">
        <v>19</v>
      </c>
      <c r="G128" s="71" t="s">
        <v>20</v>
      </c>
      <c r="H128" s="71" t="s">
        <v>87</v>
      </c>
      <c r="I128" s="71" t="s">
        <v>123</v>
      </c>
      <c r="J128" s="71"/>
      <c r="K128" s="71" t="s">
        <v>124</v>
      </c>
      <c r="L128" s="71" t="s">
        <v>125</v>
      </c>
      <c r="M128" s="71" t="s">
        <v>95</v>
      </c>
    </row>
    <row r="129" spans="1:16" ht="38.25" customHeight="1" x14ac:dyDescent="0.25">
      <c r="B129" s="72"/>
      <c r="C129" s="72"/>
      <c r="D129" s="72"/>
      <c r="E129" s="72" t="s">
        <v>86</v>
      </c>
      <c r="F129" s="71"/>
      <c r="G129" s="71"/>
      <c r="H129" s="71"/>
      <c r="I129" s="71"/>
      <c r="J129" s="71"/>
      <c r="K129" s="71"/>
      <c r="L129" s="71"/>
      <c r="M129" s="71"/>
    </row>
    <row r="130" spans="1:16" ht="31.5" customHeight="1" x14ac:dyDescent="0.25">
      <c r="B130" s="73"/>
      <c r="C130" s="73"/>
      <c r="D130" s="73"/>
      <c r="E130" s="73"/>
      <c r="F130" s="71"/>
      <c r="G130" s="71"/>
      <c r="H130" s="71"/>
      <c r="I130" s="71"/>
      <c r="J130" s="71"/>
      <c r="K130" s="71"/>
      <c r="L130" s="71"/>
      <c r="M130" s="71"/>
    </row>
    <row r="131" spans="1:16" x14ac:dyDescent="0.25">
      <c r="B131" s="84">
        <f>+F124</f>
        <v>1591.6666666666667</v>
      </c>
      <c r="C131" s="72">
        <f>G122+G123</f>
        <v>95</v>
      </c>
      <c r="D131" s="72">
        <f>$F$8</f>
        <v>12.02</v>
      </c>
      <c r="E131" s="72">
        <f>3*C131*D131</f>
        <v>3425.7</v>
      </c>
      <c r="F131" s="78">
        <f>E131/B131</f>
        <v>2.1522722513089003</v>
      </c>
      <c r="G131" s="78">
        <f>IF((F131-1)&lt;0,0,F131-1)</f>
        <v>1.1522722513089003</v>
      </c>
      <c r="H131" s="78">
        <f>G131/2</f>
        <v>0.57613612565445016</v>
      </c>
      <c r="I131" s="79">
        <f>POWER(H131,1.75)</f>
        <v>0.38099470383171391</v>
      </c>
      <c r="J131" s="80"/>
      <c r="K131" s="71">
        <f>IF(F121&lt;50,$F$4*I131,$F$6*I131)</f>
        <v>0.14405409751877102</v>
      </c>
      <c r="L131" s="92">
        <f>ROUND(IF(($F$1+K131)=0.02,0,($F$1+K131)*100/90),4)</f>
        <v>0.18229999999999999</v>
      </c>
      <c r="M131" s="71">
        <f>ROUND(B131*L131,2)</f>
        <v>290.16000000000003</v>
      </c>
    </row>
    <row r="132" spans="1:16" x14ac:dyDescent="0.25">
      <c r="B132" s="71"/>
      <c r="C132" s="73"/>
      <c r="D132" s="73"/>
      <c r="E132" s="73"/>
      <c r="F132" s="73"/>
      <c r="G132" s="73"/>
      <c r="H132" s="73"/>
      <c r="I132" s="81"/>
      <c r="J132" s="82"/>
      <c r="K132" s="71"/>
      <c r="L132" s="92"/>
      <c r="M132" s="71"/>
    </row>
    <row r="134" spans="1:16" x14ac:dyDescent="0.25">
      <c r="A134" s="13" t="s">
        <v>50</v>
      </c>
    </row>
    <row r="136" spans="1:16" x14ac:dyDescent="0.25">
      <c r="A136" s="1" t="s">
        <v>51</v>
      </c>
      <c r="I136" s="2" t="s">
        <v>31</v>
      </c>
      <c r="J136" s="2">
        <v>55</v>
      </c>
    </row>
    <row r="137" spans="1:16" x14ac:dyDescent="0.25">
      <c r="B137" s="1" t="s">
        <v>63</v>
      </c>
    </row>
    <row r="139" spans="1:16" ht="46.5" customHeight="1" x14ac:dyDescent="0.25">
      <c r="A139" s="71" t="s">
        <v>52</v>
      </c>
      <c r="B139" s="71" t="s">
        <v>53</v>
      </c>
      <c r="C139" s="71" t="s">
        <v>54</v>
      </c>
      <c r="D139" s="71" t="s">
        <v>55</v>
      </c>
      <c r="E139" s="71" t="s">
        <v>56</v>
      </c>
      <c r="F139" s="77" t="s">
        <v>17</v>
      </c>
      <c r="G139" s="3" t="s">
        <v>18</v>
      </c>
      <c r="H139" s="77" t="s">
        <v>117</v>
      </c>
      <c r="I139" s="77" t="s">
        <v>20</v>
      </c>
      <c r="J139" s="71" t="s">
        <v>87</v>
      </c>
      <c r="K139" s="71" t="s">
        <v>92</v>
      </c>
      <c r="L139" s="71" t="s">
        <v>88</v>
      </c>
      <c r="M139" s="71"/>
      <c r="N139" s="91" t="s">
        <v>125</v>
      </c>
      <c r="O139" s="91" t="s">
        <v>118</v>
      </c>
      <c r="P139" s="91" t="s">
        <v>119</v>
      </c>
    </row>
    <row r="140" spans="1:16" ht="46.5" customHeight="1" x14ac:dyDescent="0.25">
      <c r="A140" s="71"/>
      <c r="B140" s="71"/>
      <c r="C140" s="71"/>
      <c r="D140" s="71"/>
      <c r="E140" s="71"/>
      <c r="F140" s="72"/>
      <c r="G140" s="77" t="s">
        <v>86</v>
      </c>
      <c r="H140" s="72"/>
      <c r="I140" s="72"/>
      <c r="J140" s="71"/>
      <c r="K140" s="71"/>
      <c r="L140" s="71"/>
      <c r="M140" s="71"/>
      <c r="N140" s="91"/>
      <c r="O140" s="91"/>
      <c r="P140" s="91"/>
    </row>
    <row r="141" spans="1:16" ht="46.5" customHeight="1" x14ac:dyDescent="0.25">
      <c r="A141" s="71"/>
      <c r="B141" s="71"/>
      <c r="C141" s="71"/>
      <c r="D141" s="71"/>
      <c r="E141" s="71"/>
      <c r="F141" s="73"/>
      <c r="G141" s="73"/>
      <c r="H141" s="73"/>
      <c r="I141" s="73"/>
      <c r="J141" s="71"/>
      <c r="K141" s="71"/>
      <c r="L141" s="71"/>
      <c r="M141" s="71"/>
      <c r="N141" s="91"/>
      <c r="O141" s="91"/>
      <c r="P141" s="91"/>
    </row>
    <row r="142" spans="1:16" ht="19.5" customHeight="1" x14ac:dyDescent="0.25">
      <c r="A142" s="5" t="s">
        <v>57</v>
      </c>
      <c r="B142" s="19">
        <v>151.66999999999999</v>
      </c>
      <c r="C142" s="19">
        <f>B142</f>
        <v>151.66999999999999</v>
      </c>
      <c r="D142" s="12">
        <v>1800</v>
      </c>
      <c r="E142" s="60">
        <f>+D142</f>
        <v>1800</v>
      </c>
      <c r="F142" s="5">
        <v>12.02</v>
      </c>
      <c r="G142" s="5">
        <f>3*F142*C142</f>
        <v>5469.2201999999997</v>
      </c>
      <c r="H142" s="60">
        <f>G142/E142</f>
        <v>3.0384556666666667</v>
      </c>
      <c r="I142" s="11">
        <f>H142-1</f>
        <v>2.0384556666666667</v>
      </c>
      <c r="J142" s="11">
        <f>I142/2</f>
        <v>1.0192278333333333</v>
      </c>
      <c r="K142" s="2">
        <f>POWER(J142,1.75)</f>
        <v>1.0338909437998498</v>
      </c>
      <c r="L142" s="88">
        <f>IF($J$136&lt;50,$F$4*K142,$F$6*K142)</f>
        <v>0.39504972962592261</v>
      </c>
      <c r="M142" s="88"/>
      <c r="N142" s="67">
        <f>ROUND(IF(($F$1+L142)=0.02,0,($F$1+L142)*100/90),4)</f>
        <v>0.4612</v>
      </c>
      <c r="O142" s="11">
        <f>N142*E142</f>
        <v>830.16</v>
      </c>
      <c r="P142" s="11">
        <f>O142</f>
        <v>830.16</v>
      </c>
    </row>
    <row r="143" spans="1:16" ht="19.5" customHeight="1" x14ac:dyDescent="0.25">
      <c r="A143" s="5" t="s">
        <v>58</v>
      </c>
      <c r="B143" s="19">
        <v>94.7</v>
      </c>
      <c r="C143" s="19">
        <f>C142+B143</f>
        <v>246.37</v>
      </c>
      <c r="D143" s="12">
        <f>+D142*B143/B142</f>
        <v>1123.8873870903938</v>
      </c>
      <c r="E143" s="15">
        <f>D143+E142</f>
        <v>2923.8873870903935</v>
      </c>
      <c r="F143" s="5">
        <v>12.02</v>
      </c>
      <c r="G143" s="5">
        <f t="shared" ref="G143:G145" si="0">3*F143*C143</f>
        <v>8884.1022000000012</v>
      </c>
      <c r="H143" s="60">
        <f t="shared" ref="H143:H145" si="1">G143/E143</f>
        <v>3.0384556666666671</v>
      </c>
      <c r="I143" s="11">
        <f t="shared" ref="I143:I145" si="2">H143-1</f>
        <v>2.0384556666666671</v>
      </c>
      <c r="J143" s="11">
        <f t="shared" ref="J143:J145" si="3">I143/2</f>
        <v>1.0192278333333336</v>
      </c>
      <c r="K143" s="2">
        <f t="shared" ref="K143:K145" si="4">POWER(J143,1.75)</f>
        <v>1.03389094379985</v>
      </c>
      <c r="L143" s="88">
        <f t="shared" ref="L143:L145" si="5">IF($J$136&lt;50,$F$4*K143,$F$6*K143)</f>
        <v>0.39504972962592266</v>
      </c>
      <c r="M143" s="88"/>
      <c r="N143" s="67">
        <f t="shared" ref="N143:N145" si="6">ROUND(IF(($F$1+L143)=0.02,0,($F$1+L143)*100/90),4)</f>
        <v>0.4612</v>
      </c>
      <c r="O143" s="11">
        <f t="shared" ref="O143:O145" si="7">N143*E143</f>
        <v>1348.4968629260895</v>
      </c>
      <c r="P143" s="11">
        <f>O143-O142</f>
        <v>518.33686292608957</v>
      </c>
    </row>
    <row r="144" spans="1:16" ht="19.5" customHeight="1" x14ac:dyDescent="0.25">
      <c r="A144" s="5" t="s">
        <v>59</v>
      </c>
      <c r="B144" s="19">
        <v>96.3</v>
      </c>
      <c r="C144" s="19">
        <f t="shared" ref="C144:C145" si="8">C143+B144</f>
        <v>342.67</v>
      </c>
      <c r="D144" s="12">
        <v>2500</v>
      </c>
      <c r="E144" s="15">
        <f t="shared" ref="E144:E145" si="9">D144+E143</f>
        <v>5423.8873870903935</v>
      </c>
      <c r="F144" s="5">
        <v>12.02</v>
      </c>
      <c r="G144" s="5">
        <f t="shared" si="0"/>
        <v>12356.680200000001</v>
      </c>
      <c r="H144" s="60">
        <f t="shared" si="1"/>
        <v>2.278196304261519</v>
      </c>
      <c r="I144" s="11">
        <f t="shared" si="2"/>
        <v>1.278196304261519</v>
      </c>
      <c r="J144" s="11">
        <f t="shared" si="3"/>
        <v>0.63909815213075949</v>
      </c>
      <c r="K144" s="2">
        <f t="shared" si="4"/>
        <v>0.45681802645099823</v>
      </c>
      <c r="L144" s="88">
        <f t="shared" si="5"/>
        <v>0.17455016790692643</v>
      </c>
      <c r="M144" s="88"/>
      <c r="N144" s="67">
        <f t="shared" si="6"/>
        <v>0.2162</v>
      </c>
      <c r="O144" s="11">
        <f t="shared" si="7"/>
        <v>1172.644453088943</v>
      </c>
      <c r="P144" s="11">
        <f t="shared" ref="P144:P145" si="10">O144-O143</f>
        <v>-175.85240983714652</v>
      </c>
    </row>
    <row r="145" spans="1:16" ht="19.5" customHeight="1" x14ac:dyDescent="0.25">
      <c r="A145" s="5" t="s">
        <v>60</v>
      </c>
      <c r="B145" s="19">
        <v>151.66999999999999</v>
      </c>
      <c r="C145" s="19">
        <f t="shared" si="8"/>
        <v>494.34000000000003</v>
      </c>
      <c r="D145" s="12">
        <v>3000</v>
      </c>
      <c r="E145" s="15">
        <f t="shared" si="9"/>
        <v>8423.8873870903935</v>
      </c>
      <c r="F145" s="5">
        <v>12.02</v>
      </c>
      <c r="G145" s="5">
        <f t="shared" si="0"/>
        <v>17825.900400000002</v>
      </c>
      <c r="H145" s="60">
        <f t="shared" si="1"/>
        <v>2.116113331158509</v>
      </c>
      <c r="I145" s="11">
        <f t="shared" si="2"/>
        <v>1.116113331158509</v>
      </c>
      <c r="J145" s="11">
        <f t="shared" si="3"/>
        <v>0.55805666557925449</v>
      </c>
      <c r="K145" s="2">
        <f t="shared" si="4"/>
        <v>0.36031888482096114</v>
      </c>
      <c r="L145" s="88">
        <f t="shared" si="5"/>
        <v>0.13767784589008925</v>
      </c>
      <c r="M145" s="88"/>
      <c r="N145" s="67">
        <f t="shared" si="6"/>
        <v>0.17519999999999999</v>
      </c>
      <c r="O145" s="11">
        <f t="shared" si="7"/>
        <v>1475.865070218237</v>
      </c>
      <c r="P145" s="11">
        <f t="shared" si="10"/>
        <v>303.22061712929394</v>
      </c>
    </row>
    <row r="148" spans="1:16" x14ac:dyDescent="0.25">
      <c r="C148" s="13"/>
    </row>
    <row r="150" spans="1:16" x14ac:dyDescent="0.25">
      <c r="E150" s="62"/>
      <c r="F150" s="62"/>
      <c r="G150" s="62"/>
    </row>
    <row r="151" spans="1:16" x14ac:dyDescent="0.25">
      <c r="E151" s="62"/>
      <c r="F151" s="62"/>
      <c r="G151" s="62"/>
    </row>
    <row r="152" spans="1:16" x14ac:dyDescent="0.25">
      <c r="E152" s="62"/>
      <c r="F152" s="62"/>
      <c r="G152" s="62"/>
    </row>
  </sheetData>
  <mergeCells count="228">
    <mergeCell ref="J23:J25"/>
    <mergeCell ref="H35:H36"/>
    <mergeCell ref="C126:E126"/>
    <mergeCell ref="C67:E67"/>
    <mergeCell ref="G72:G74"/>
    <mergeCell ref="H72:H74"/>
    <mergeCell ref="I72:J74"/>
    <mergeCell ref="C18:C20"/>
    <mergeCell ref="D18:D20"/>
    <mergeCell ref="F18:F20"/>
    <mergeCell ref="G18:G20"/>
    <mergeCell ref="H18:H20"/>
    <mergeCell ref="I18:J20"/>
    <mergeCell ref="E19:E20"/>
    <mergeCell ref="I21:J22"/>
    <mergeCell ref="C21:C22"/>
    <mergeCell ref="D21:D22"/>
    <mergeCell ref="E21:E22"/>
    <mergeCell ref="F21:F22"/>
    <mergeCell ref="G21:G22"/>
    <mergeCell ref="H21:H22"/>
    <mergeCell ref="C68:E68"/>
    <mergeCell ref="C69:E69"/>
    <mergeCell ref="C70:E70"/>
    <mergeCell ref="B71:M71"/>
    <mergeCell ref="I91:J93"/>
    <mergeCell ref="K91:K93"/>
    <mergeCell ref="L91:L93"/>
    <mergeCell ref="M91:M93"/>
    <mergeCell ref="E92:E93"/>
    <mergeCell ref="C80:D80"/>
    <mergeCell ref="C81:D81"/>
    <mergeCell ref="C82:D82"/>
    <mergeCell ref="C83:D83"/>
    <mergeCell ref="C85:D85"/>
    <mergeCell ref="C86:E86"/>
    <mergeCell ref="C87:E87"/>
    <mergeCell ref="C88:E88"/>
    <mergeCell ref="C89:E89"/>
    <mergeCell ref="B90:M90"/>
    <mergeCell ref="B91:B93"/>
    <mergeCell ref="C91:C93"/>
    <mergeCell ref="D91:D93"/>
    <mergeCell ref="F91:F93"/>
    <mergeCell ref="G91:G93"/>
    <mergeCell ref="H91:H93"/>
    <mergeCell ref="I131:J132"/>
    <mergeCell ref="F131:F132"/>
    <mergeCell ref="G131:G132"/>
    <mergeCell ref="H131:H132"/>
    <mergeCell ref="J139:J141"/>
    <mergeCell ref="I139:I141"/>
    <mergeCell ref="C128:C130"/>
    <mergeCell ref="D128:D130"/>
    <mergeCell ref="F128:F130"/>
    <mergeCell ref="G128:G130"/>
    <mergeCell ref="H128:H130"/>
    <mergeCell ref="I128:J130"/>
    <mergeCell ref="E129:E130"/>
    <mergeCell ref="C131:C132"/>
    <mergeCell ref="D131:D132"/>
    <mergeCell ref="E131:E132"/>
    <mergeCell ref="B17:M17"/>
    <mergeCell ref="K21:K22"/>
    <mergeCell ref="L21:L22"/>
    <mergeCell ref="M21:M22"/>
    <mergeCell ref="C12:E12"/>
    <mergeCell ref="C13:E13"/>
    <mergeCell ref="C14:E14"/>
    <mergeCell ref="C15:E15"/>
    <mergeCell ref="B18:B20"/>
    <mergeCell ref="B21:B22"/>
    <mergeCell ref="K18:K20"/>
    <mergeCell ref="L18:L20"/>
    <mergeCell ref="M18:M20"/>
    <mergeCell ref="I35:J36"/>
    <mergeCell ref="K35:K36"/>
    <mergeCell ref="C26:E26"/>
    <mergeCell ref="C27:E27"/>
    <mergeCell ref="C28:E28"/>
    <mergeCell ref="C29:E29"/>
    <mergeCell ref="B31:M31"/>
    <mergeCell ref="B32:B34"/>
    <mergeCell ref="C32:C34"/>
    <mergeCell ref="D32:D34"/>
    <mergeCell ref="F32:F34"/>
    <mergeCell ref="G32:G34"/>
    <mergeCell ref="H32:H34"/>
    <mergeCell ref="I32:J34"/>
    <mergeCell ref="K32:K34"/>
    <mergeCell ref="L32:L34"/>
    <mergeCell ref="M32:M34"/>
    <mergeCell ref="E33:E34"/>
    <mergeCell ref="L35:L36"/>
    <mergeCell ref="M35:M36"/>
    <mergeCell ref="B35:B36"/>
    <mergeCell ref="C35:C36"/>
    <mergeCell ref="D35:D36"/>
    <mergeCell ref="E35:E36"/>
    <mergeCell ref="F35:F36"/>
    <mergeCell ref="G35:G36"/>
    <mergeCell ref="B56:B57"/>
    <mergeCell ref="C56:C57"/>
    <mergeCell ref="D56:D57"/>
    <mergeCell ref="E56:E57"/>
    <mergeCell ref="F56:F57"/>
    <mergeCell ref="G56:G57"/>
    <mergeCell ref="C47:E47"/>
    <mergeCell ref="C48:E48"/>
    <mergeCell ref="C49:E49"/>
    <mergeCell ref="C50:E50"/>
    <mergeCell ref="B52:M52"/>
    <mergeCell ref="B53:B55"/>
    <mergeCell ref="C53:C55"/>
    <mergeCell ref="D53:D55"/>
    <mergeCell ref="F53:F55"/>
    <mergeCell ref="G53:G55"/>
    <mergeCell ref="H53:H55"/>
    <mergeCell ref="I53:J55"/>
    <mergeCell ref="K53:K55"/>
    <mergeCell ref="L53:L55"/>
    <mergeCell ref="M53:M55"/>
    <mergeCell ref="H56:H57"/>
    <mergeCell ref="I56:J57"/>
    <mergeCell ref="K56:K57"/>
    <mergeCell ref="L56:L57"/>
    <mergeCell ref="M56:M57"/>
    <mergeCell ref="C41:D41"/>
    <mergeCell ref="C42:D42"/>
    <mergeCell ref="C43:D43"/>
    <mergeCell ref="C44:D44"/>
    <mergeCell ref="C45:D45"/>
    <mergeCell ref="E54:E55"/>
    <mergeCell ref="C61:D61"/>
    <mergeCell ref="C62:D62"/>
    <mergeCell ref="K72:K74"/>
    <mergeCell ref="L72:L74"/>
    <mergeCell ref="M72:M74"/>
    <mergeCell ref="E73:E74"/>
    <mergeCell ref="B75:B76"/>
    <mergeCell ref="C75:C76"/>
    <mergeCell ref="D75:D76"/>
    <mergeCell ref="E75:E76"/>
    <mergeCell ref="F75:F76"/>
    <mergeCell ref="G75:G76"/>
    <mergeCell ref="H75:H76"/>
    <mergeCell ref="I75:J76"/>
    <mergeCell ref="K75:K76"/>
    <mergeCell ref="L75:L76"/>
    <mergeCell ref="M75:M76"/>
    <mergeCell ref="B72:B74"/>
    <mergeCell ref="C72:C74"/>
    <mergeCell ref="D72:D74"/>
    <mergeCell ref="F72:F74"/>
    <mergeCell ref="C66:D66"/>
    <mergeCell ref="C63:D63"/>
    <mergeCell ref="C64:D64"/>
    <mergeCell ref="L94:L95"/>
    <mergeCell ref="M94:M95"/>
    <mergeCell ref="C103:D103"/>
    <mergeCell ref="C104:D104"/>
    <mergeCell ref="C105:E105"/>
    <mergeCell ref="C106:E106"/>
    <mergeCell ref="B94:B95"/>
    <mergeCell ref="C94:C95"/>
    <mergeCell ref="D94:D95"/>
    <mergeCell ref="E94:E95"/>
    <mergeCell ref="F94:F95"/>
    <mergeCell ref="G94:G95"/>
    <mergeCell ref="H94:H95"/>
    <mergeCell ref="I94:J95"/>
    <mergeCell ref="K94:K95"/>
    <mergeCell ref="E113:E114"/>
    <mergeCell ref="F113:F114"/>
    <mergeCell ref="G113:G114"/>
    <mergeCell ref="H113:H114"/>
    <mergeCell ref="I113:J114"/>
    <mergeCell ref="K113:K114"/>
    <mergeCell ref="C107:E107"/>
    <mergeCell ref="C108:E108"/>
    <mergeCell ref="B109:M109"/>
    <mergeCell ref="B110:B112"/>
    <mergeCell ref="C110:C112"/>
    <mergeCell ref="D110:D112"/>
    <mergeCell ref="F110:F112"/>
    <mergeCell ref="G110:G112"/>
    <mergeCell ref="H110:H112"/>
    <mergeCell ref="I110:J112"/>
    <mergeCell ref="K110:K112"/>
    <mergeCell ref="L110:L112"/>
    <mergeCell ref="M110:M112"/>
    <mergeCell ref="E111:E112"/>
    <mergeCell ref="A139:A141"/>
    <mergeCell ref="B139:B141"/>
    <mergeCell ref="C139:C141"/>
    <mergeCell ref="D139:D141"/>
    <mergeCell ref="E139:E141"/>
    <mergeCell ref="L113:L114"/>
    <mergeCell ref="M113:M114"/>
    <mergeCell ref="B127:M127"/>
    <mergeCell ref="B128:B130"/>
    <mergeCell ref="K128:K130"/>
    <mergeCell ref="L128:L130"/>
    <mergeCell ref="M128:M130"/>
    <mergeCell ref="B131:B132"/>
    <mergeCell ref="K131:K132"/>
    <mergeCell ref="L131:L132"/>
    <mergeCell ref="M131:M132"/>
    <mergeCell ref="C121:E121"/>
    <mergeCell ref="C122:E122"/>
    <mergeCell ref="C123:E123"/>
    <mergeCell ref="C124:E124"/>
    <mergeCell ref="C125:E125"/>
    <mergeCell ref="B113:B114"/>
    <mergeCell ref="C113:C114"/>
    <mergeCell ref="D113:D114"/>
    <mergeCell ref="L142:M142"/>
    <mergeCell ref="L143:M143"/>
    <mergeCell ref="L144:M144"/>
    <mergeCell ref="L145:M145"/>
    <mergeCell ref="G140:G141"/>
    <mergeCell ref="H139:H141"/>
    <mergeCell ref="K139:K141"/>
    <mergeCell ref="P139:P141"/>
    <mergeCell ref="F139:F141"/>
    <mergeCell ref="L139:M141"/>
    <mergeCell ref="N139:N141"/>
    <mergeCell ref="O139:O141"/>
  </mergeCell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75" orientation="landscape" horizontalDpi="4294967293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2128-1350-4D09-AABA-B519D36EA86C}">
  <dimension ref="A18:K49"/>
  <sheetViews>
    <sheetView tabSelected="1" topLeftCell="A42" workbookViewId="0">
      <selection activeCell="D45" sqref="D45:G45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18" spans="2:8" s="42" customFormat="1" ht="30" customHeight="1" x14ac:dyDescent="0.25">
      <c r="B18" s="98" t="s">
        <v>69</v>
      </c>
      <c r="C18" s="98"/>
      <c r="D18" s="98"/>
      <c r="E18" s="98"/>
      <c r="F18" s="41"/>
      <c r="G18" s="41"/>
      <c r="H18" s="41"/>
    </row>
    <row r="19" spans="2:8" s="42" customFormat="1" ht="30" customHeight="1" x14ac:dyDescent="0.25">
      <c r="B19" s="99" t="s">
        <v>70</v>
      </c>
      <c r="C19" s="99"/>
      <c r="D19" s="99"/>
      <c r="E19" s="99"/>
      <c r="F19" s="41"/>
      <c r="G19" s="41"/>
      <c r="H19" s="41"/>
    </row>
    <row r="20" spans="2:8" s="42" customFormat="1" ht="30" customHeight="1" x14ac:dyDescent="0.25">
      <c r="B20" s="41" t="s">
        <v>29</v>
      </c>
      <c r="C20" s="41"/>
      <c r="D20" s="41"/>
      <c r="E20" s="43">
        <v>12.02</v>
      </c>
      <c r="F20" s="41"/>
      <c r="G20" s="41"/>
      <c r="H20" s="41"/>
    </row>
    <row r="21" spans="2:8" s="42" customFormat="1" ht="30" customHeight="1" x14ac:dyDescent="0.25">
      <c r="B21" s="41" t="s">
        <v>12</v>
      </c>
      <c r="C21" s="41"/>
      <c r="D21" s="41"/>
      <c r="E21" s="44">
        <v>15</v>
      </c>
      <c r="F21" s="41"/>
      <c r="G21" s="41"/>
      <c r="H21" s="41"/>
    </row>
    <row r="22" spans="2:8" s="42" customFormat="1" ht="30" customHeight="1" x14ac:dyDescent="0.25">
      <c r="B22" s="41" t="s">
        <v>71</v>
      </c>
      <c r="C22" s="41"/>
      <c r="D22" s="41"/>
      <c r="E22" s="43">
        <v>0.37809999999999999</v>
      </c>
      <c r="F22" s="101" t="s">
        <v>36</v>
      </c>
      <c r="G22" s="102"/>
      <c r="H22" s="102"/>
    </row>
    <row r="23" spans="2:8" s="42" customFormat="1" ht="30" customHeight="1" x14ac:dyDescent="0.25">
      <c r="B23" s="41"/>
      <c r="C23" s="41"/>
      <c r="D23" s="41"/>
      <c r="E23" s="43">
        <v>0.3821</v>
      </c>
      <c r="F23" s="101" t="s">
        <v>72</v>
      </c>
      <c r="G23" s="102"/>
      <c r="H23" s="102"/>
    </row>
    <row r="24" spans="2:8" s="42" customFormat="1" ht="30" customHeight="1" x14ac:dyDescent="0.25">
      <c r="B24" s="41" t="s">
        <v>33</v>
      </c>
      <c r="C24" s="41"/>
      <c r="D24" s="41"/>
      <c r="E24" s="45">
        <f>35*52/12</f>
        <v>151.66666666666666</v>
      </c>
      <c r="F24" s="41"/>
      <c r="G24" s="41"/>
      <c r="H24" s="41"/>
    </row>
    <row r="25" spans="2:8" s="42" customFormat="1" ht="30" customHeight="1" x14ac:dyDescent="0.25">
      <c r="B25" s="41" t="s">
        <v>73</v>
      </c>
      <c r="C25" s="41"/>
      <c r="D25" s="41"/>
      <c r="E25" s="68">
        <v>1850</v>
      </c>
      <c r="F25" s="41"/>
      <c r="G25" s="41"/>
      <c r="H25" s="41"/>
    </row>
    <row r="26" spans="2:8" s="42" customFormat="1" ht="15.75" x14ac:dyDescent="0.25"/>
    <row r="27" spans="2:8" s="42" customFormat="1" ht="15.75" x14ac:dyDescent="0.25"/>
    <row r="28" spans="2:8" s="42" customFormat="1" ht="15.75" x14ac:dyDescent="0.25"/>
    <row r="29" spans="2:8" s="42" customFormat="1" ht="15.75" x14ac:dyDescent="0.25"/>
    <row r="30" spans="2:8" s="42" customFormat="1" ht="15.75" x14ac:dyDescent="0.25"/>
    <row r="31" spans="2:8" s="42" customFormat="1" ht="15.75" x14ac:dyDescent="0.25"/>
    <row r="32" spans="2:8" s="42" customFormat="1" ht="15.75" x14ac:dyDescent="0.25"/>
    <row r="33" spans="1:11" s="42" customFormat="1" ht="15.75" x14ac:dyDescent="0.25"/>
    <row r="34" spans="1:11" s="42" customFormat="1" ht="15.75" x14ac:dyDescent="0.25"/>
    <row r="35" spans="1:11" s="41" customFormat="1" ht="33.75" customHeight="1" x14ac:dyDescent="0.25">
      <c r="A35" s="43" t="s">
        <v>18</v>
      </c>
      <c r="B35" s="43" t="s">
        <v>74</v>
      </c>
      <c r="C35" s="46">
        <v>0.02</v>
      </c>
    </row>
    <row r="36" spans="1:11" s="41" customFormat="1" ht="33.75" customHeight="1" x14ac:dyDescent="0.25">
      <c r="A36" s="43" t="s">
        <v>0</v>
      </c>
      <c r="B36" s="43" t="s">
        <v>75</v>
      </c>
      <c r="C36" s="43">
        <f>IF(E21&gt;=50,E23,E22)</f>
        <v>0.37809999999999999</v>
      </c>
      <c r="D36" s="99" t="s">
        <v>76</v>
      </c>
      <c r="E36" s="99"/>
      <c r="F36" s="99"/>
      <c r="G36" s="99"/>
    </row>
    <row r="37" spans="1:11" s="41" customFormat="1" ht="33.75" customHeight="1" x14ac:dyDescent="0.25">
      <c r="A37" s="43" t="s">
        <v>1</v>
      </c>
      <c r="B37" s="43" t="s">
        <v>77</v>
      </c>
      <c r="C37" s="43">
        <f>3*E20*E24</f>
        <v>5469.1</v>
      </c>
    </row>
    <row r="38" spans="1:11" s="41" customFormat="1" ht="33.75" customHeight="1" x14ac:dyDescent="0.25">
      <c r="A38" s="43" t="s">
        <v>2</v>
      </c>
      <c r="B38" s="43" t="s">
        <v>78</v>
      </c>
      <c r="C38" s="43">
        <f>E25</f>
        <v>1850</v>
      </c>
    </row>
    <row r="39" spans="1:11" s="41" customFormat="1" ht="33.75" customHeight="1" x14ac:dyDescent="0.25">
      <c r="A39" s="43" t="s">
        <v>79</v>
      </c>
      <c r="B39" s="43" t="s">
        <v>3</v>
      </c>
      <c r="C39" s="43">
        <f>C37/C38</f>
        <v>2.9562702702702706</v>
      </c>
    </row>
    <row r="40" spans="1:11" s="41" customFormat="1" ht="33.75" customHeight="1" x14ac:dyDescent="0.25">
      <c r="A40" s="43" t="s">
        <v>4</v>
      </c>
      <c r="B40" s="43" t="s">
        <v>80</v>
      </c>
      <c r="C40" s="43">
        <f>IF((C39-1)&lt;0,0,C39-1)</f>
        <v>1.9562702702702706</v>
      </c>
    </row>
    <row r="41" spans="1:11" s="41" customFormat="1" ht="33.75" customHeight="1" x14ac:dyDescent="0.25">
      <c r="A41" s="43" t="s">
        <v>81</v>
      </c>
      <c r="B41" s="43" t="s">
        <v>5</v>
      </c>
      <c r="C41" s="43">
        <f>C40/2</f>
        <v>0.97813513513513528</v>
      </c>
    </row>
    <row r="42" spans="1:11" s="41" customFormat="1" ht="33.75" customHeight="1" x14ac:dyDescent="0.25">
      <c r="A42" s="43" t="s">
        <v>6</v>
      </c>
      <c r="B42" s="43" t="s">
        <v>126</v>
      </c>
      <c r="C42" s="43">
        <f>POWER(C41,1.75)</f>
        <v>0.96205079703610552</v>
      </c>
    </row>
    <row r="43" spans="1:11" s="41" customFormat="1" ht="33.75" customHeight="1" x14ac:dyDescent="0.25">
      <c r="A43" s="43" t="s">
        <v>7</v>
      </c>
      <c r="B43" s="43" t="s">
        <v>127</v>
      </c>
      <c r="C43" s="43">
        <f>IF($E$21&lt;50,$E$22*C42,$E$23*C42)</f>
        <v>0.36375140635935149</v>
      </c>
    </row>
    <row r="44" spans="1:11" s="41" customFormat="1" ht="33.75" customHeight="1" x14ac:dyDescent="0.25">
      <c r="A44" s="43" t="s">
        <v>82</v>
      </c>
      <c r="B44" s="43" t="s">
        <v>28</v>
      </c>
      <c r="C44" s="69">
        <f>(IF((C35+C43)=0.02,0,C35+C43))</f>
        <v>0.38375140635935151</v>
      </c>
    </row>
    <row r="45" spans="1:11" s="41" customFormat="1" ht="33.75" customHeight="1" x14ac:dyDescent="0.25">
      <c r="A45" s="43" t="s">
        <v>135</v>
      </c>
      <c r="B45" s="43" t="s">
        <v>136</v>
      </c>
      <c r="C45" s="69">
        <f>ROUND(C44*100/90,4)</f>
        <v>0.4264</v>
      </c>
      <c r="D45" s="122" t="s">
        <v>137</v>
      </c>
      <c r="E45" s="123"/>
      <c r="F45" s="123"/>
      <c r="G45" s="124"/>
      <c r="H45" s="100" t="s">
        <v>128</v>
      </c>
      <c r="I45" s="100"/>
      <c r="J45" s="100"/>
      <c r="K45" s="100"/>
    </row>
    <row r="46" spans="1:11" s="41" customFormat="1" ht="33.75" customHeight="1" x14ac:dyDescent="0.25">
      <c r="A46" s="43" t="s">
        <v>83</v>
      </c>
      <c r="B46" s="43" t="s">
        <v>84</v>
      </c>
      <c r="C46" s="68">
        <f>ROUND((C45*E25),2)</f>
        <v>788.84</v>
      </c>
      <c r="D46" s="100" t="s">
        <v>85</v>
      </c>
      <c r="E46" s="100"/>
      <c r="F46" s="100"/>
      <c r="G46" s="100"/>
    </row>
    <row r="47" spans="1:11" s="42" customFormat="1" ht="15.75" x14ac:dyDescent="0.25"/>
    <row r="48" spans="1:11" s="47" customFormat="1" ht="15.75" x14ac:dyDescent="0.25"/>
    <row r="49" spans="2:2" s="47" customFormat="1" ht="15.75" x14ac:dyDescent="0.25">
      <c r="B49" s="47">
        <f>+C46*12</f>
        <v>9466.08</v>
      </c>
    </row>
  </sheetData>
  <mergeCells count="8">
    <mergeCell ref="B18:E18"/>
    <mergeCell ref="B19:E19"/>
    <mergeCell ref="D36:G36"/>
    <mergeCell ref="H45:K45"/>
    <mergeCell ref="D46:G46"/>
    <mergeCell ref="F22:H22"/>
    <mergeCell ref="F23:H23"/>
    <mergeCell ref="D45:G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3FFA0-B85F-4F72-9470-0CFF78044473}">
  <dimension ref="A18:K49"/>
  <sheetViews>
    <sheetView topLeftCell="A41" workbookViewId="0">
      <selection activeCell="D45" sqref="D45:G45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18" spans="2:8" s="42" customFormat="1" ht="30" customHeight="1" x14ac:dyDescent="0.25">
      <c r="B18" s="98" t="s">
        <v>69</v>
      </c>
      <c r="C18" s="98"/>
      <c r="D18" s="98"/>
      <c r="E18" s="98"/>
      <c r="F18" s="41"/>
      <c r="G18" s="41"/>
      <c r="H18" s="41"/>
    </row>
    <row r="19" spans="2:8" s="42" customFormat="1" ht="30" customHeight="1" x14ac:dyDescent="0.25">
      <c r="B19" s="99" t="s">
        <v>70</v>
      </c>
      <c r="C19" s="99"/>
      <c r="D19" s="99"/>
      <c r="E19" s="99"/>
      <c r="F19" s="41"/>
      <c r="G19" s="41"/>
      <c r="H19" s="41"/>
    </row>
    <row r="20" spans="2:8" s="42" customFormat="1" ht="30" customHeight="1" x14ac:dyDescent="0.25">
      <c r="B20" s="41" t="s">
        <v>29</v>
      </c>
      <c r="C20" s="41"/>
      <c r="D20" s="41"/>
      <c r="E20" s="43">
        <v>12.02</v>
      </c>
      <c r="F20" s="41"/>
      <c r="G20" s="41"/>
      <c r="H20" s="41"/>
    </row>
    <row r="21" spans="2:8" s="42" customFormat="1" ht="30" customHeight="1" x14ac:dyDescent="0.25">
      <c r="B21" s="41" t="s">
        <v>12</v>
      </c>
      <c r="C21" s="41"/>
      <c r="D21" s="41"/>
      <c r="E21" s="44">
        <v>80</v>
      </c>
      <c r="F21" s="41"/>
      <c r="G21" s="41"/>
      <c r="H21" s="41"/>
    </row>
    <row r="22" spans="2:8" s="42" customFormat="1" ht="30" customHeight="1" x14ac:dyDescent="0.25">
      <c r="B22" s="41" t="s">
        <v>71</v>
      </c>
      <c r="C22" s="41"/>
      <c r="D22" s="41"/>
      <c r="E22" s="43">
        <v>0.37559999999999999</v>
      </c>
      <c r="F22" s="101" t="s">
        <v>36</v>
      </c>
      <c r="G22" s="102"/>
      <c r="H22" s="102"/>
    </row>
    <row r="23" spans="2:8" s="42" customFormat="1" ht="30" customHeight="1" x14ac:dyDescent="0.25">
      <c r="B23" s="41"/>
      <c r="C23" s="41"/>
      <c r="D23" s="41"/>
      <c r="E23" s="43">
        <v>0.37959999999999999</v>
      </c>
      <c r="F23" s="101" t="s">
        <v>72</v>
      </c>
      <c r="G23" s="102"/>
      <c r="H23" s="102"/>
    </row>
    <row r="24" spans="2:8" s="42" customFormat="1" ht="30" customHeight="1" x14ac:dyDescent="0.25">
      <c r="B24" s="41" t="s">
        <v>33</v>
      </c>
      <c r="C24" s="41"/>
      <c r="D24" s="41"/>
      <c r="E24" s="45">
        <f>35*52/12</f>
        <v>151.66666666666666</v>
      </c>
      <c r="F24" s="41"/>
      <c r="G24" s="41"/>
      <c r="H24" s="41"/>
    </row>
    <row r="25" spans="2:8" s="42" customFormat="1" ht="30" customHeight="1" x14ac:dyDescent="0.25">
      <c r="B25" s="41" t="s">
        <v>73</v>
      </c>
      <c r="C25" s="41"/>
      <c r="D25" s="41"/>
      <c r="E25" s="68">
        <v>2000</v>
      </c>
      <c r="F25" s="41"/>
      <c r="G25" s="41"/>
      <c r="H25" s="41"/>
    </row>
    <row r="26" spans="2:8" s="42" customFormat="1" ht="15.75" x14ac:dyDescent="0.25"/>
    <row r="27" spans="2:8" s="42" customFormat="1" ht="15.75" x14ac:dyDescent="0.25"/>
    <row r="28" spans="2:8" s="42" customFormat="1" ht="15.75" x14ac:dyDescent="0.25"/>
    <row r="29" spans="2:8" s="42" customFormat="1" ht="15.75" x14ac:dyDescent="0.25"/>
    <row r="30" spans="2:8" s="42" customFormat="1" ht="15.75" x14ac:dyDescent="0.25"/>
    <row r="31" spans="2:8" s="42" customFormat="1" ht="15.75" x14ac:dyDescent="0.25"/>
    <row r="32" spans="2:8" s="42" customFormat="1" ht="15.75" x14ac:dyDescent="0.25"/>
    <row r="33" spans="1:11" s="42" customFormat="1" ht="15.75" x14ac:dyDescent="0.25"/>
    <row r="34" spans="1:11" s="42" customFormat="1" ht="15.75" x14ac:dyDescent="0.25"/>
    <row r="35" spans="1:11" s="41" customFormat="1" ht="33.75" customHeight="1" x14ac:dyDescent="0.25">
      <c r="A35" s="43" t="s">
        <v>18</v>
      </c>
      <c r="B35" s="43" t="s">
        <v>74</v>
      </c>
      <c r="C35" s="46">
        <v>0.02</v>
      </c>
    </row>
    <row r="36" spans="1:11" s="41" customFormat="1" ht="33.75" customHeight="1" x14ac:dyDescent="0.25">
      <c r="A36" s="43" t="s">
        <v>0</v>
      </c>
      <c r="B36" s="43" t="s">
        <v>75</v>
      </c>
      <c r="C36" s="43">
        <f>IF(E21&gt;=50,E23,E22)</f>
        <v>0.37959999999999999</v>
      </c>
      <c r="D36" s="99" t="s">
        <v>76</v>
      </c>
      <c r="E36" s="99"/>
      <c r="F36" s="99"/>
      <c r="G36" s="99"/>
    </row>
    <row r="37" spans="1:11" s="41" customFormat="1" ht="33.75" customHeight="1" x14ac:dyDescent="0.25">
      <c r="A37" s="43" t="s">
        <v>1</v>
      </c>
      <c r="B37" s="43" t="s">
        <v>77</v>
      </c>
      <c r="C37" s="43">
        <f>3*E20*E24</f>
        <v>5469.1</v>
      </c>
    </row>
    <row r="38" spans="1:11" s="41" customFormat="1" ht="33.75" customHeight="1" x14ac:dyDescent="0.25">
      <c r="A38" s="43" t="s">
        <v>2</v>
      </c>
      <c r="B38" s="43" t="s">
        <v>78</v>
      </c>
      <c r="C38" s="43">
        <f>E25</f>
        <v>2000</v>
      </c>
    </row>
    <row r="39" spans="1:11" s="41" customFormat="1" ht="33.75" customHeight="1" x14ac:dyDescent="0.25">
      <c r="A39" s="43" t="s">
        <v>79</v>
      </c>
      <c r="B39" s="43" t="s">
        <v>3</v>
      </c>
      <c r="C39" s="43">
        <f>C37/C38</f>
        <v>2.73455</v>
      </c>
    </row>
    <row r="40" spans="1:11" s="41" customFormat="1" ht="33.75" customHeight="1" x14ac:dyDescent="0.25">
      <c r="A40" s="43" t="s">
        <v>4</v>
      </c>
      <c r="B40" s="43" t="s">
        <v>80</v>
      </c>
      <c r="C40" s="43">
        <f>IF((C39-1)&lt;0,0,C39-1)</f>
        <v>1.73455</v>
      </c>
    </row>
    <row r="41" spans="1:11" s="41" customFormat="1" ht="33.75" customHeight="1" x14ac:dyDescent="0.25">
      <c r="A41" s="43" t="s">
        <v>81</v>
      </c>
      <c r="B41" s="43" t="s">
        <v>5</v>
      </c>
      <c r="C41" s="43">
        <f>C40/2</f>
        <v>0.86727500000000002</v>
      </c>
    </row>
    <row r="42" spans="1:11" s="41" customFormat="1" ht="33.75" customHeight="1" x14ac:dyDescent="0.25">
      <c r="A42" s="43" t="s">
        <v>6</v>
      </c>
      <c r="B42" s="43" t="s">
        <v>126</v>
      </c>
      <c r="C42" s="43">
        <f>POWER(C41,1.75)</f>
        <v>0.77942520946437832</v>
      </c>
    </row>
    <row r="43" spans="1:11" s="41" customFormat="1" ht="33.75" customHeight="1" x14ac:dyDescent="0.25">
      <c r="A43" s="43" t="s">
        <v>7</v>
      </c>
      <c r="B43" s="43" t="s">
        <v>127</v>
      </c>
      <c r="C43" s="43">
        <f>IF($E$21&lt;50,$E$22*C42,$E$23*C42)</f>
        <v>0.29586980951267799</v>
      </c>
    </row>
    <row r="44" spans="1:11" s="41" customFormat="1" ht="33.75" customHeight="1" x14ac:dyDescent="0.25">
      <c r="A44" s="43" t="s">
        <v>82</v>
      </c>
      <c r="B44" s="43" t="s">
        <v>28</v>
      </c>
      <c r="C44" s="69">
        <f>(IF((C35+C43)=0.02,0,C35+C43))</f>
        <v>0.31586980951267801</v>
      </c>
    </row>
    <row r="45" spans="1:11" s="41" customFormat="1" ht="33.75" customHeight="1" x14ac:dyDescent="0.25">
      <c r="A45" s="43" t="s">
        <v>135</v>
      </c>
      <c r="B45" s="43" t="s">
        <v>136</v>
      </c>
      <c r="C45" s="69">
        <f>ROUND(C44*100/90,4)</f>
        <v>0.35099999999999998</v>
      </c>
      <c r="D45" s="122" t="s">
        <v>137</v>
      </c>
      <c r="E45" s="123"/>
      <c r="F45" s="123"/>
      <c r="G45" s="124"/>
      <c r="H45" s="100" t="s">
        <v>128</v>
      </c>
      <c r="I45" s="100"/>
      <c r="J45" s="100"/>
      <c r="K45" s="100"/>
    </row>
    <row r="46" spans="1:11" s="41" customFormat="1" ht="33.75" customHeight="1" x14ac:dyDescent="0.25">
      <c r="A46" s="43" t="s">
        <v>83</v>
      </c>
      <c r="B46" s="43" t="s">
        <v>84</v>
      </c>
      <c r="C46" s="68">
        <f>ROUND((C45*E25),2)</f>
        <v>702</v>
      </c>
      <c r="D46" s="100" t="s">
        <v>85</v>
      </c>
      <c r="E46" s="100"/>
      <c r="F46" s="100"/>
      <c r="G46" s="100"/>
    </row>
    <row r="47" spans="1:11" s="42" customFormat="1" ht="15.75" x14ac:dyDescent="0.25"/>
    <row r="48" spans="1:11" s="47" customFormat="1" ht="15.75" x14ac:dyDescent="0.25"/>
    <row r="49" spans="2:2" s="47" customFormat="1" ht="15.75" x14ac:dyDescent="0.25">
      <c r="B49" s="47">
        <f>+C46*12</f>
        <v>8424</v>
      </c>
    </row>
  </sheetData>
  <mergeCells count="8">
    <mergeCell ref="D46:G46"/>
    <mergeCell ref="B18:E18"/>
    <mergeCell ref="B19:E19"/>
    <mergeCell ref="F22:H22"/>
    <mergeCell ref="F23:H23"/>
    <mergeCell ref="D36:G36"/>
    <mergeCell ref="D45:G45"/>
    <mergeCell ref="H45:K4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72B2-0D84-4518-8EE3-AAFADD051F7F}">
  <dimension ref="A1:S26"/>
  <sheetViews>
    <sheetView topLeftCell="A2" workbookViewId="0">
      <selection activeCell="S16" sqref="S16"/>
    </sheetView>
  </sheetViews>
  <sheetFormatPr baseColWidth="10" defaultColWidth="11.42578125" defaultRowHeight="15" x14ac:dyDescent="0.25"/>
  <cols>
    <col min="1" max="1" width="6" style="1" customWidth="1"/>
    <col min="2" max="8" width="13.85546875" style="1" customWidth="1"/>
    <col min="9" max="10" width="8.42578125" style="1" customWidth="1"/>
    <col min="11" max="11" width="4.5703125" style="1" customWidth="1"/>
    <col min="12" max="16384" width="11.42578125" style="1"/>
  </cols>
  <sheetData>
    <row r="1" spans="1:19" s="30" customFormat="1" ht="27" customHeight="1" x14ac:dyDescent="0.25">
      <c r="B1" s="103" t="s">
        <v>64</v>
      </c>
      <c r="C1" s="103"/>
      <c r="D1" s="103"/>
      <c r="E1" s="103"/>
      <c r="F1" s="103"/>
      <c r="G1" s="103"/>
      <c r="H1" s="103"/>
      <c r="I1" s="103"/>
      <c r="J1" s="103"/>
      <c r="K1" s="103"/>
    </row>
    <row r="2" spans="1:19" s="30" customFormat="1" ht="25.9" customHeight="1" x14ac:dyDescent="0.25">
      <c r="B2" s="104" t="s">
        <v>65</v>
      </c>
      <c r="C2" s="104"/>
      <c r="D2" s="104"/>
      <c r="E2" s="104"/>
      <c r="F2" s="104"/>
      <c r="G2" s="104"/>
      <c r="H2" s="104"/>
      <c r="I2" s="104"/>
      <c r="J2" s="104"/>
      <c r="K2" s="104"/>
    </row>
    <row r="3" spans="1:19" s="30" customFormat="1" ht="13.9" x14ac:dyDescent="0.25">
      <c r="B3" s="31" t="s">
        <v>0</v>
      </c>
      <c r="C3" s="31" t="s">
        <v>1</v>
      </c>
      <c r="D3" s="31" t="s">
        <v>2</v>
      </c>
      <c r="E3" s="31" t="s">
        <v>3</v>
      </c>
      <c r="F3" s="31" t="s">
        <v>4</v>
      </c>
      <c r="G3" s="31" t="s">
        <v>5</v>
      </c>
      <c r="H3" s="31" t="s">
        <v>6</v>
      </c>
      <c r="I3" s="31"/>
      <c r="J3" s="31" t="s">
        <v>7</v>
      </c>
      <c r="K3" s="32" t="s">
        <v>8</v>
      </c>
      <c r="L3" s="33"/>
    </row>
    <row r="4" spans="1:19" s="30" customFormat="1" ht="13.9" x14ac:dyDescent="0.25">
      <c r="B4" s="106" t="s">
        <v>9</v>
      </c>
      <c r="C4" s="106"/>
      <c r="D4" s="106"/>
      <c r="E4" s="31">
        <f>IF(E6&gt;=E11,0.3193,0.3194)</f>
        <v>0.31929999999999997</v>
      </c>
      <c r="F4" s="34" t="s">
        <v>10</v>
      </c>
      <c r="L4" s="33"/>
    </row>
    <row r="5" spans="1:19" s="30" customFormat="1" ht="13.9" x14ac:dyDescent="0.25">
      <c r="B5" s="105" t="s">
        <v>11</v>
      </c>
      <c r="C5" s="105"/>
      <c r="D5" s="105"/>
      <c r="E5" s="31">
        <f>IF(E6&lt;E11,0.3234,0.3233)</f>
        <v>0.32329999999999998</v>
      </c>
      <c r="F5" s="35" t="s">
        <v>10</v>
      </c>
      <c r="L5" s="33"/>
    </row>
    <row r="6" spans="1:19" s="30" customFormat="1" x14ac:dyDescent="0.25">
      <c r="B6" s="113" t="s">
        <v>66</v>
      </c>
      <c r="C6" s="114"/>
      <c r="D6" s="115"/>
      <c r="E6" s="36">
        <v>45809</v>
      </c>
      <c r="F6" s="37"/>
      <c r="L6" s="33"/>
    </row>
    <row r="7" spans="1:19" s="30" customFormat="1" ht="13.9" x14ac:dyDescent="0.25">
      <c r="B7" s="105" t="s">
        <v>12</v>
      </c>
      <c r="C7" s="105"/>
      <c r="D7" s="105"/>
      <c r="E7" s="38">
        <v>40</v>
      </c>
      <c r="F7" s="37"/>
      <c r="L7" s="33"/>
    </row>
    <row r="8" spans="1:19" s="30" customFormat="1" ht="13.9" x14ac:dyDescent="0.25">
      <c r="B8" s="105" t="s">
        <v>13</v>
      </c>
      <c r="C8" s="105"/>
      <c r="D8" s="105"/>
      <c r="E8" s="38">
        <v>11.88</v>
      </c>
      <c r="F8" s="37"/>
      <c r="L8" s="33"/>
    </row>
    <row r="9" spans="1:19" s="30" customFormat="1" ht="13.9" x14ac:dyDescent="0.25">
      <c r="B9" s="105" t="s">
        <v>14</v>
      </c>
      <c r="C9" s="105"/>
      <c r="D9" s="105"/>
      <c r="E9" s="39">
        <v>151.66999999999999</v>
      </c>
      <c r="F9" s="37"/>
      <c r="L9" s="33"/>
    </row>
    <row r="10" spans="1:19" s="30" customFormat="1" ht="13.9" x14ac:dyDescent="0.25">
      <c r="B10" s="105" t="s">
        <v>15</v>
      </c>
      <c r="C10" s="105"/>
      <c r="D10" s="105"/>
      <c r="E10" s="40">
        <v>2000</v>
      </c>
      <c r="L10" s="33"/>
    </row>
    <row r="11" spans="1:19" s="30" customFormat="1" ht="13.9" hidden="1" x14ac:dyDescent="0.25">
      <c r="B11" s="105" t="s">
        <v>67</v>
      </c>
      <c r="C11" s="105"/>
      <c r="D11" s="105"/>
      <c r="E11" s="16">
        <v>45778</v>
      </c>
      <c r="F11" s="107" t="s">
        <v>68</v>
      </c>
      <c r="G11" s="108"/>
      <c r="H11" s="108"/>
      <c r="I11" s="108"/>
      <c r="J11" s="108"/>
      <c r="K11" s="108"/>
      <c r="L11" s="33"/>
    </row>
    <row r="12" spans="1:19" ht="30.75" customHeight="1" x14ac:dyDescent="0.25">
      <c r="B12" s="118" t="s">
        <v>61</v>
      </c>
      <c r="C12" s="118"/>
      <c r="D12" s="118"/>
      <c r="E12" s="118"/>
      <c r="F12" s="118"/>
      <c r="G12" s="118"/>
      <c r="H12" s="118"/>
      <c r="I12" s="118"/>
      <c r="J12" s="119"/>
      <c r="K12" s="3">
        <v>12</v>
      </c>
    </row>
    <row r="13" spans="1:19" ht="30.75" customHeight="1" x14ac:dyDescent="0.25">
      <c r="A13" s="4"/>
      <c r="B13" s="77" t="s">
        <v>15</v>
      </c>
      <c r="C13" s="77" t="s">
        <v>16</v>
      </c>
      <c r="D13" s="77" t="s">
        <v>17</v>
      </c>
      <c r="E13" s="3" t="s">
        <v>18</v>
      </c>
      <c r="F13" s="71" t="s">
        <v>19</v>
      </c>
      <c r="G13" s="71" t="s">
        <v>20</v>
      </c>
      <c r="H13" s="71" t="s">
        <v>21</v>
      </c>
      <c r="I13" s="71" t="s">
        <v>22</v>
      </c>
      <c r="J13" s="117"/>
      <c r="K13" s="3">
        <v>13</v>
      </c>
    </row>
    <row r="14" spans="1:19" ht="30.75" customHeight="1" x14ac:dyDescent="0.25">
      <c r="B14" s="72"/>
      <c r="C14" s="72"/>
      <c r="D14" s="72"/>
      <c r="E14" s="72" t="s">
        <v>23</v>
      </c>
      <c r="F14" s="71"/>
      <c r="G14" s="71"/>
      <c r="H14" s="71"/>
      <c r="I14" s="71"/>
      <c r="J14" s="117"/>
      <c r="K14" s="3">
        <v>14</v>
      </c>
    </row>
    <row r="15" spans="1:19" ht="30.75" customHeight="1" x14ac:dyDescent="0.25">
      <c r="B15" s="73"/>
      <c r="C15" s="73"/>
      <c r="D15" s="73"/>
      <c r="E15" s="73"/>
      <c r="F15" s="71"/>
      <c r="G15" s="71"/>
      <c r="H15" s="71"/>
      <c r="I15" s="71"/>
      <c r="J15" s="117"/>
      <c r="K15" s="3">
        <v>15</v>
      </c>
    </row>
    <row r="16" spans="1:19" ht="30.75" customHeight="1" x14ac:dyDescent="0.25">
      <c r="B16" s="78">
        <f>E10</f>
        <v>2000</v>
      </c>
      <c r="C16" s="120">
        <f>E9</f>
        <v>151.66999999999999</v>
      </c>
      <c r="D16" s="116">
        <f>E8</f>
        <v>11.88</v>
      </c>
      <c r="E16" s="72">
        <f>1.6*D16*C16</f>
        <v>2882.9433600000002</v>
      </c>
      <c r="F16" s="72">
        <f>E16/B16</f>
        <v>1.44147168</v>
      </c>
      <c r="G16" s="72">
        <f>IF(F16&lt;=1,0,F16-1)</f>
        <v>0.44147168000000003</v>
      </c>
      <c r="H16" s="121">
        <f>ROUND(IF(E7&lt;50,E4*G16/0.6,E5*G16/0.6),4)</f>
        <v>0.2349</v>
      </c>
      <c r="I16" s="109">
        <f>ROUND(H16*B16,2)</f>
        <v>469.8</v>
      </c>
      <c r="J16" s="110"/>
      <c r="K16" s="3">
        <v>16</v>
      </c>
      <c r="S16" s="30"/>
    </row>
    <row r="17" spans="1:11" ht="30.75" customHeight="1" x14ac:dyDescent="0.25">
      <c r="B17" s="73"/>
      <c r="C17" s="73"/>
      <c r="D17" s="73"/>
      <c r="E17" s="73"/>
      <c r="F17" s="73"/>
      <c r="G17" s="73"/>
      <c r="H17" s="73"/>
      <c r="I17" s="111"/>
      <c r="J17" s="112"/>
      <c r="K17" s="3">
        <v>17</v>
      </c>
    </row>
    <row r="18" spans="1:11" x14ac:dyDescent="0.25">
      <c r="K18" s="3">
        <v>18</v>
      </c>
    </row>
    <row r="19" spans="1:11" x14ac:dyDescent="0.25">
      <c r="K19" s="3">
        <v>19</v>
      </c>
    </row>
    <row r="20" spans="1:11" x14ac:dyDescent="0.25">
      <c r="K20" s="3">
        <v>20</v>
      </c>
    </row>
    <row r="21" spans="1:11" ht="27.75" customHeight="1" x14ac:dyDescent="0.25">
      <c r="B21" s="71" t="s">
        <v>62</v>
      </c>
      <c r="C21" s="71"/>
      <c r="D21" s="71"/>
      <c r="E21" s="71"/>
      <c r="F21" s="71"/>
      <c r="G21" s="71"/>
      <c r="H21" s="71"/>
      <c r="I21" s="71"/>
      <c r="J21" s="117"/>
      <c r="K21" s="3">
        <v>21</v>
      </c>
    </row>
    <row r="22" spans="1:11" ht="29.25" customHeight="1" x14ac:dyDescent="0.25">
      <c r="A22" s="4"/>
      <c r="B22" s="77" t="s">
        <v>15</v>
      </c>
      <c r="C22" s="77" t="s">
        <v>16</v>
      </c>
      <c r="D22" s="77" t="s">
        <v>17</v>
      </c>
      <c r="E22" s="3" t="s">
        <v>18</v>
      </c>
      <c r="F22" s="71" t="s">
        <v>19</v>
      </c>
      <c r="G22" s="71" t="s">
        <v>20</v>
      </c>
      <c r="H22" s="71" t="s">
        <v>21</v>
      </c>
      <c r="I22" s="71" t="s">
        <v>24</v>
      </c>
      <c r="J22" s="117"/>
      <c r="K22" s="3">
        <v>22</v>
      </c>
    </row>
    <row r="23" spans="1:11" ht="29.25" customHeight="1" x14ac:dyDescent="0.25">
      <c r="B23" s="72"/>
      <c r="C23" s="72"/>
      <c r="D23" s="72"/>
      <c r="E23" s="72" t="s">
        <v>23</v>
      </c>
      <c r="F23" s="71"/>
      <c r="G23" s="71"/>
      <c r="H23" s="71"/>
      <c r="I23" s="71"/>
      <c r="J23" s="117"/>
      <c r="K23" s="3">
        <v>23</v>
      </c>
    </row>
    <row r="24" spans="1:11" ht="29.25" customHeight="1" x14ac:dyDescent="0.25">
      <c r="B24" s="73"/>
      <c r="C24" s="73"/>
      <c r="D24" s="73"/>
      <c r="E24" s="73"/>
      <c r="F24" s="71"/>
      <c r="G24" s="71"/>
      <c r="H24" s="71"/>
      <c r="I24" s="71"/>
      <c r="J24" s="117"/>
      <c r="K24" s="3">
        <v>24</v>
      </c>
    </row>
    <row r="25" spans="1:11" ht="29.25" customHeight="1" x14ac:dyDescent="0.25">
      <c r="B25" s="72">
        <f>B16</f>
        <v>2000</v>
      </c>
      <c r="C25" s="72">
        <v>151.66999999999999</v>
      </c>
      <c r="D25" s="116">
        <f>+E8</f>
        <v>11.88</v>
      </c>
      <c r="E25" s="72">
        <f>1.6*D25*C25</f>
        <v>2882.9433600000002</v>
      </c>
      <c r="F25" s="72">
        <f>E25/B25</f>
        <v>1.44147168</v>
      </c>
      <c r="G25" s="72">
        <f>IF(F25&lt;=1,0,F25-1)</f>
        <v>0.44147168000000003</v>
      </c>
      <c r="H25" s="72">
        <f>ROUND(E5*G25/0.6,4)</f>
        <v>0.2379</v>
      </c>
      <c r="I25" s="109">
        <f>ROUND(H25*B25,2)</f>
        <v>475.8</v>
      </c>
      <c r="J25" s="110"/>
      <c r="K25" s="3">
        <v>25</v>
      </c>
    </row>
    <row r="26" spans="1:11" ht="29.25" customHeight="1" x14ac:dyDescent="0.25">
      <c r="B26" s="73"/>
      <c r="C26" s="73"/>
      <c r="D26" s="73"/>
      <c r="E26" s="73"/>
      <c r="F26" s="73"/>
      <c r="G26" s="73"/>
      <c r="H26" s="73"/>
      <c r="I26" s="111"/>
      <c r="J26" s="112"/>
      <c r="K26" s="3">
        <v>26</v>
      </c>
    </row>
  </sheetData>
  <mergeCells count="45">
    <mergeCell ref="I22:J24"/>
    <mergeCell ref="E23:E24"/>
    <mergeCell ref="B12:J12"/>
    <mergeCell ref="F13:F15"/>
    <mergeCell ref="I13:J15"/>
    <mergeCell ref="E14:E15"/>
    <mergeCell ref="C16:C17"/>
    <mergeCell ref="I16:J17"/>
    <mergeCell ref="B16:B17"/>
    <mergeCell ref="D16:D17"/>
    <mergeCell ref="E16:E17"/>
    <mergeCell ref="F16:F17"/>
    <mergeCell ref="G16:G17"/>
    <mergeCell ref="H16:H17"/>
    <mergeCell ref="B13:B15"/>
    <mergeCell ref="B22:B24"/>
    <mergeCell ref="B10:D10"/>
    <mergeCell ref="F11:K11"/>
    <mergeCell ref="I25:J26"/>
    <mergeCell ref="B6:D6"/>
    <mergeCell ref="B5:D5"/>
    <mergeCell ref="B25:B26"/>
    <mergeCell ref="C25:C26"/>
    <mergeCell ref="D25:D26"/>
    <mergeCell ref="E25:E26"/>
    <mergeCell ref="F25:F26"/>
    <mergeCell ref="G25:G26"/>
    <mergeCell ref="B21:J21"/>
    <mergeCell ref="C13:C15"/>
    <mergeCell ref="D13:D15"/>
    <mergeCell ref="G13:G15"/>
    <mergeCell ref="C22:C24"/>
    <mergeCell ref="H22:H24"/>
    <mergeCell ref="B11:D11"/>
    <mergeCell ref="H25:H26"/>
    <mergeCell ref="D22:D24"/>
    <mergeCell ref="F22:F24"/>
    <mergeCell ref="G22:G24"/>
    <mergeCell ref="H13:H15"/>
    <mergeCell ref="B1:K1"/>
    <mergeCell ref="B2:K2"/>
    <mergeCell ref="B7:D7"/>
    <mergeCell ref="B8:D8"/>
    <mergeCell ref="B9:D9"/>
    <mergeCell ref="B4:D4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BOSS 2026</vt:lpstr>
      <vt:lpstr>ENONCE 2026</vt:lpstr>
      <vt:lpstr>CORRIGE 2026</vt:lpstr>
      <vt:lpstr>MAQUETTE 2026 </vt:lpstr>
      <vt:lpstr>MAQUETTE 2026 ETAM </vt:lpstr>
      <vt:lpstr>MAQUETTE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</dc:creator>
  <cp:keywords/>
  <dc:description/>
  <cp:lastModifiedBy>jacques LE CHEVANTON</cp:lastModifiedBy>
  <cp:revision/>
  <cp:lastPrinted>2025-12-28T12:31:44Z</cp:lastPrinted>
  <dcterms:created xsi:type="dcterms:W3CDTF">2024-01-24T10:07:51Z</dcterms:created>
  <dcterms:modified xsi:type="dcterms:W3CDTF">2026-01-26T16:29:38Z</dcterms:modified>
  <cp:category/>
  <cp:contentStatus/>
</cp:coreProperties>
</file>